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Z:\Sprawozdawczosc\roczne za 2017\Dane z JW\"/>
    </mc:Choice>
  </mc:AlternateContent>
  <bookViews>
    <workbookView xWindow="0" yWindow="0" windowWidth="28800" windowHeight="12210" firstSheet="18" activeTab="19"/>
  </bookViews>
  <sheets>
    <sheet name="dolnośląskie" sheetId="1" r:id="rId1"/>
    <sheet name="kujawsko-pomorskie" sheetId="2" r:id="rId2"/>
    <sheet name="lubelskie" sheetId="3" r:id="rId3"/>
    <sheet name="lubuskie" sheetId="4" r:id="rId4"/>
    <sheet name="łódzkie" sheetId="5" r:id="rId5"/>
    <sheet name="małopolskie" sheetId="6" r:id="rId6"/>
    <sheet name="mazowieckie" sheetId="7" r:id="rId7"/>
    <sheet name="opolskie" sheetId="8" r:id="rId8"/>
    <sheet name="podkarpackie" sheetId="9" r:id="rId9"/>
    <sheet name="podlaskie" sheetId="10" r:id="rId10"/>
    <sheet name="pomorskie" sheetId="11" r:id="rId11"/>
    <sheet name="ślaskie" sheetId="12" r:id="rId12"/>
    <sheet name="świętokrzyskie" sheetId="13" r:id="rId13"/>
    <sheet name="warmińsko-mazurskie" sheetId="14" r:id="rId14"/>
    <sheet name="wielkopolskie" sheetId="15" r:id="rId15"/>
    <sheet name="zachodniopomorskie" sheetId="16" r:id="rId16"/>
    <sheet name="KOWR" sheetId="17" r:id="rId17"/>
    <sheet name="ARiMR" sheetId="18" r:id="rId18"/>
    <sheet name="MRiRW" sheetId="19" r:id="rId19"/>
    <sheet name="Jednostka Centralna" sheetId="37" r:id="rId20"/>
    <sheet name="Centrum Doradztwa Rolniczego" sheetId="20" r:id="rId21"/>
    <sheet name="ODR woj. dolnośląskie" sheetId="21" r:id="rId22"/>
    <sheet name="ODR woj. kujawsko-pomorskie" sheetId="22" r:id="rId23"/>
    <sheet name="ODR woj. lubelskie" sheetId="23" r:id="rId24"/>
    <sheet name="ODR woj. lubuskie" sheetId="24" r:id="rId25"/>
    <sheet name="ODR woj. łódzkie" sheetId="25" r:id="rId26"/>
    <sheet name="ODR woj. małopolskie" sheetId="26" r:id="rId27"/>
    <sheet name="ODR woj. mazowieckie" sheetId="27" r:id="rId28"/>
    <sheet name="ODR woj. opolskie" sheetId="28" r:id="rId29"/>
    <sheet name="ODR woj. podkarpackie" sheetId="29" r:id="rId30"/>
    <sheet name="ODR woj. podlaskie" sheetId="30" r:id="rId31"/>
    <sheet name="ODR woj. pomorskie" sheetId="31" r:id="rId32"/>
    <sheet name="ODR woj. ślaskie" sheetId="32" r:id="rId33"/>
    <sheet name="ODR woj. świętokrzyskie" sheetId="33" r:id="rId34"/>
    <sheet name="ODR woj. warmińsko-mazurskie" sheetId="34" r:id="rId35"/>
    <sheet name="ODR woj. wielkopolskie" sheetId="35" r:id="rId36"/>
    <sheet name="ODR woj. zachodniopomorskie" sheetId="36" r:id="rId37"/>
    <sheet name="RAZEM" sheetId="39" r:id="rId38"/>
  </sheets>
  <externalReferences>
    <externalReference r:id="rId3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8" i="39" l="1"/>
  <c r="D219" i="39" s="1"/>
  <c r="F213" i="11" l="1"/>
  <c r="E213" i="11"/>
  <c r="D213" i="11"/>
  <c r="E213" i="31"/>
  <c r="D217" i="39" l="1"/>
  <c r="D216" i="39"/>
  <c r="D215" i="39"/>
  <c r="D214" i="39"/>
  <c r="F131" i="39"/>
  <c r="E131" i="39"/>
  <c r="D131" i="39"/>
  <c r="M101" i="39"/>
  <c r="F101" i="39"/>
  <c r="F218" i="39"/>
  <c r="F219" i="39" s="1"/>
  <c r="E218" i="39"/>
  <c r="F217" i="39"/>
  <c r="E217" i="39"/>
  <c r="F216" i="39"/>
  <c r="E216" i="39"/>
  <c r="F215" i="39"/>
  <c r="E215" i="39"/>
  <c r="F214" i="39"/>
  <c r="E214" i="39"/>
  <c r="L205" i="39"/>
  <c r="K205" i="39"/>
  <c r="J205" i="39"/>
  <c r="I205" i="39"/>
  <c r="H205" i="39"/>
  <c r="G205" i="39"/>
  <c r="F205" i="39"/>
  <c r="E205" i="39"/>
  <c r="D205" i="39"/>
  <c r="L204" i="39"/>
  <c r="K204" i="39"/>
  <c r="J204" i="39"/>
  <c r="I204" i="39"/>
  <c r="H204" i="39"/>
  <c r="G204" i="39"/>
  <c r="F204" i="39"/>
  <c r="E204" i="39"/>
  <c r="D204" i="39"/>
  <c r="L192" i="39"/>
  <c r="K192" i="39"/>
  <c r="J192" i="39"/>
  <c r="I192" i="39"/>
  <c r="H192" i="39"/>
  <c r="F192" i="39"/>
  <c r="E192" i="39"/>
  <c r="D192" i="39"/>
  <c r="L191" i="39"/>
  <c r="K191" i="39"/>
  <c r="J191" i="39"/>
  <c r="I191" i="39"/>
  <c r="H191" i="39"/>
  <c r="F191" i="39"/>
  <c r="E191" i="39"/>
  <c r="D191" i="39"/>
  <c r="G191" i="39" s="1"/>
  <c r="O181" i="39"/>
  <c r="N181" i="39"/>
  <c r="M181" i="39"/>
  <c r="L181" i="39"/>
  <c r="K181" i="39"/>
  <c r="J181" i="39"/>
  <c r="I181" i="39"/>
  <c r="H181" i="39"/>
  <c r="F181" i="39"/>
  <c r="E181" i="39"/>
  <c r="D181" i="39"/>
  <c r="O180" i="39"/>
  <c r="N180" i="39"/>
  <c r="M180" i="39"/>
  <c r="L180" i="39"/>
  <c r="K180" i="39"/>
  <c r="J180" i="39"/>
  <c r="I180" i="39"/>
  <c r="H180" i="39"/>
  <c r="F180" i="39"/>
  <c r="E180" i="39"/>
  <c r="D180" i="39"/>
  <c r="I168" i="39"/>
  <c r="H168" i="39"/>
  <c r="G168" i="39"/>
  <c r="F168" i="39"/>
  <c r="E168" i="39"/>
  <c r="D168" i="39"/>
  <c r="I167" i="39"/>
  <c r="H167" i="39"/>
  <c r="G167" i="39"/>
  <c r="F167" i="39"/>
  <c r="E167" i="39"/>
  <c r="D167" i="39"/>
  <c r="J158" i="39"/>
  <c r="I158" i="39"/>
  <c r="H158" i="39"/>
  <c r="F158" i="39"/>
  <c r="E158" i="39"/>
  <c r="D158" i="39"/>
  <c r="J157" i="39"/>
  <c r="I157" i="39"/>
  <c r="H157" i="39"/>
  <c r="F157" i="39"/>
  <c r="G157" i="39" s="1"/>
  <c r="E157" i="39"/>
  <c r="D157" i="39"/>
  <c r="N147" i="39"/>
  <c r="M147" i="39"/>
  <c r="L147" i="39"/>
  <c r="K147" i="39"/>
  <c r="J147" i="39"/>
  <c r="H147" i="39"/>
  <c r="G147" i="39"/>
  <c r="F147" i="39"/>
  <c r="E147" i="39"/>
  <c r="D147" i="39"/>
  <c r="I147" i="39" s="1"/>
  <c r="N146" i="39"/>
  <c r="M146" i="39"/>
  <c r="L146" i="39"/>
  <c r="K146" i="39"/>
  <c r="J146" i="39"/>
  <c r="H146" i="39"/>
  <c r="G146" i="39"/>
  <c r="F146" i="39"/>
  <c r="E146" i="39"/>
  <c r="D146" i="39"/>
  <c r="F133" i="39"/>
  <c r="E133" i="39"/>
  <c r="G133" i="39" s="1"/>
  <c r="D133" i="39"/>
  <c r="F132" i="39"/>
  <c r="E132" i="39"/>
  <c r="D132" i="39"/>
  <c r="D137" i="39" s="1"/>
  <c r="L123" i="39"/>
  <c r="K123" i="39"/>
  <c r="J123" i="39"/>
  <c r="I123" i="39"/>
  <c r="H123" i="39"/>
  <c r="G123" i="39"/>
  <c r="F123" i="39"/>
  <c r="E123" i="39"/>
  <c r="E127" i="39" s="1"/>
  <c r="D123" i="39"/>
  <c r="L122" i="39"/>
  <c r="K122" i="39"/>
  <c r="J122" i="39"/>
  <c r="I122" i="39"/>
  <c r="H122" i="39"/>
  <c r="G122" i="39"/>
  <c r="F122" i="39"/>
  <c r="F127" i="39" s="1"/>
  <c r="E122" i="39"/>
  <c r="D122" i="39"/>
  <c r="L112" i="39"/>
  <c r="K112" i="39"/>
  <c r="J112" i="39"/>
  <c r="I112" i="39"/>
  <c r="H112" i="39"/>
  <c r="G112" i="39"/>
  <c r="F112" i="39"/>
  <c r="E112" i="39"/>
  <c r="D112" i="39"/>
  <c r="L111" i="39"/>
  <c r="K111" i="39"/>
  <c r="J111" i="39"/>
  <c r="I111" i="39"/>
  <c r="H111" i="39"/>
  <c r="G111" i="39"/>
  <c r="F111" i="39"/>
  <c r="E111" i="39"/>
  <c r="D111" i="39"/>
  <c r="L101" i="39"/>
  <c r="K101" i="39"/>
  <c r="J101" i="39"/>
  <c r="I101" i="39"/>
  <c r="H101" i="39"/>
  <c r="G101" i="39"/>
  <c r="E101" i="39"/>
  <c r="D101" i="39"/>
  <c r="M100" i="39"/>
  <c r="L100" i="39"/>
  <c r="K100" i="39"/>
  <c r="J100" i="39"/>
  <c r="I100" i="39"/>
  <c r="H100" i="39"/>
  <c r="G100" i="39"/>
  <c r="F100" i="39"/>
  <c r="E100" i="39"/>
  <c r="D100" i="39"/>
  <c r="K88" i="39"/>
  <c r="J88" i="39"/>
  <c r="I88" i="39"/>
  <c r="H88" i="39"/>
  <c r="G88" i="39"/>
  <c r="F88" i="39"/>
  <c r="E88" i="39"/>
  <c r="D88" i="39"/>
  <c r="K87" i="39"/>
  <c r="J87" i="39"/>
  <c r="I87" i="39"/>
  <c r="H87" i="39"/>
  <c r="G87" i="39"/>
  <c r="F87" i="39"/>
  <c r="E87" i="39"/>
  <c r="D87" i="39"/>
  <c r="O75" i="39"/>
  <c r="N75" i="39"/>
  <c r="M75" i="39"/>
  <c r="L75" i="39"/>
  <c r="K75" i="39"/>
  <c r="J75" i="39"/>
  <c r="I75" i="39"/>
  <c r="H75" i="39"/>
  <c r="F75" i="39"/>
  <c r="E75" i="39"/>
  <c r="D75" i="39"/>
  <c r="O74" i="39"/>
  <c r="N74" i="39"/>
  <c r="M74" i="39"/>
  <c r="L74" i="39"/>
  <c r="K74" i="39"/>
  <c r="J74" i="39"/>
  <c r="I74" i="39"/>
  <c r="H74" i="39"/>
  <c r="F74" i="39"/>
  <c r="E74" i="39"/>
  <c r="D74" i="39"/>
  <c r="L65" i="39"/>
  <c r="K65" i="39"/>
  <c r="J65" i="39"/>
  <c r="I65" i="39"/>
  <c r="H65" i="39"/>
  <c r="G65" i="39"/>
  <c r="F65" i="39"/>
  <c r="E65" i="39"/>
  <c r="D65" i="39"/>
  <c r="L64" i="39"/>
  <c r="K64" i="39"/>
  <c r="J64" i="39"/>
  <c r="I64" i="39"/>
  <c r="H64" i="39"/>
  <c r="G64" i="39"/>
  <c r="F64" i="39"/>
  <c r="E64" i="39"/>
  <c r="D64" i="39"/>
  <c r="K54" i="39"/>
  <c r="J54" i="39"/>
  <c r="I54" i="39"/>
  <c r="H54" i="39"/>
  <c r="G54" i="39"/>
  <c r="F54" i="39"/>
  <c r="E54" i="39"/>
  <c r="D54" i="39"/>
  <c r="K53" i="39"/>
  <c r="J53" i="39"/>
  <c r="I53" i="39"/>
  <c r="H53" i="39"/>
  <c r="G53" i="39"/>
  <c r="F53" i="39"/>
  <c r="E53" i="39"/>
  <c r="D53" i="39"/>
  <c r="E43" i="39"/>
  <c r="D43" i="39"/>
  <c r="E42" i="39"/>
  <c r="D42" i="39"/>
  <c r="O20" i="39"/>
  <c r="N20" i="39"/>
  <c r="M20" i="39"/>
  <c r="L20" i="39"/>
  <c r="K20" i="39"/>
  <c r="J20" i="39"/>
  <c r="I20" i="39"/>
  <c r="H20" i="39"/>
  <c r="F20" i="39"/>
  <c r="E20" i="39"/>
  <c r="D20" i="39"/>
  <c r="O19" i="39"/>
  <c r="N19" i="39"/>
  <c r="M19" i="39"/>
  <c r="L19" i="39"/>
  <c r="K19" i="39"/>
  <c r="J19" i="39"/>
  <c r="I19" i="39"/>
  <c r="H19" i="39"/>
  <c r="F19" i="39"/>
  <c r="G19" i="39" s="1"/>
  <c r="E19" i="39"/>
  <c r="D19" i="39"/>
  <c r="F31" i="39"/>
  <c r="F30" i="39"/>
  <c r="E31" i="39"/>
  <c r="E30" i="39"/>
  <c r="D31" i="39"/>
  <c r="D30" i="39"/>
  <c r="I219" i="39"/>
  <c r="H219" i="39"/>
  <c r="G219" i="39"/>
  <c r="G195" i="39"/>
  <c r="G194" i="39"/>
  <c r="G193" i="39"/>
  <c r="G192" i="39"/>
  <c r="G189" i="39"/>
  <c r="G184" i="39"/>
  <c r="G183" i="39"/>
  <c r="G182" i="39"/>
  <c r="G181" i="39"/>
  <c r="G178" i="39"/>
  <c r="K171" i="39"/>
  <c r="J171" i="39"/>
  <c r="K170" i="39"/>
  <c r="J170" i="39"/>
  <c r="K169" i="39"/>
  <c r="J169" i="39"/>
  <c r="K168" i="39"/>
  <c r="J168" i="39"/>
  <c r="K165" i="39"/>
  <c r="J165" i="39"/>
  <c r="G161" i="39"/>
  <c r="G160" i="39"/>
  <c r="G159" i="39"/>
  <c r="G158" i="39"/>
  <c r="G155" i="39"/>
  <c r="I150" i="39"/>
  <c r="I149" i="39"/>
  <c r="I148" i="39"/>
  <c r="I144" i="39"/>
  <c r="G136" i="39"/>
  <c r="G135" i="39"/>
  <c r="G134" i="39"/>
  <c r="F137" i="39"/>
  <c r="G131" i="39"/>
  <c r="H127" i="39"/>
  <c r="I127" i="39"/>
  <c r="L127" i="39"/>
  <c r="K127" i="39"/>
  <c r="G127" i="39"/>
  <c r="G78" i="39"/>
  <c r="G77" i="39"/>
  <c r="G76" i="39"/>
  <c r="G75" i="39"/>
  <c r="G72" i="39"/>
  <c r="G34" i="39"/>
  <c r="G33" i="39"/>
  <c r="G32" i="39"/>
  <c r="G28" i="39"/>
  <c r="G23" i="39"/>
  <c r="G22" i="39"/>
  <c r="G21" i="39"/>
  <c r="G20" i="39"/>
  <c r="G17" i="39"/>
  <c r="E219" i="39" l="1"/>
  <c r="F213" i="39"/>
  <c r="D213" i="39"/>
  <c r="E137" i="39"/>
  <c r="G132" i="39"/>
  <c r="G137" i="39" s="1"/>
  <c r="G31" i="39"/>
  <c r="G30" i="39"/>
  <c r="G74" i="39"/>
  <c r="J167" i="39"/>
  <c r="E213" i="39"/>
  <c r="I146" i="39"/>
  <c r="K167" i="39"/>
  <c r="G180" i="39"/>
  <c r="I219" i="37" l="1"/>
  <c r="H219" i="37"/>
  <c r="G219" i="37"/>
  <c r="F219" i="37"/>
  <c r="E219" i="37"/>
  <c r="D219" i="37"/>
  <c r="E217" i="37"/>
  <c r="F213" i="37"/>
  <c r="E213" i="37"/>
  <c r="D213" i="37"/>
  <c r="L209" i="37"/>
  <c r="K209" i="37"/>
  <c r="J209" i="37"/>
  <c r="I209" i="37"/>
  <c r="H209" i="37"/>
  <c r="G209" i="37"/>
  <c r="F209" i="37"/>
  <c r="E209" i="37"/>
  <c r="D209" i="37"/>
  <c r="L196" i="37"/>
  <c r="K196" i="37"/>
  <c r="J196" i="37"/>
  <c r="I196" i="37"/>
  <c r="H196" i="37"/>
  <c r="F196" i="37"/>
  <c r="E196" i="37"/>
  <c r="D196" i="37"/>
  <c r="G195" i="37"/>
  <c r="G194" i="37"/>
  <c r="G193" i="37"/>
  <c r="G192" i="37"/>
  <c r="G191" i="37"/>
  <c r="G196" i="37" s="1"/>
  <c r="G190" i="37"/>
  <c r="G189" i="37"/>
  <c r="O185" i="37"/>
  <c r="N185" i="37"/>
  <c r="M185" i="37"/>
  <c r="L185" i="37"/>
  <c r="K185" i="37"/>
  <c r="J185" i="37"/>
  <c r="I185" i="37"/>
  <c r="H185" i="37"/>
  <c r="F185" i="37"/>
  <c r="E185" i="37"/>
  <c r="D185" i="37"/>
  <c r="G184" i="37"/>
  <c r="G183" i="37"/>
  <c r="G182" i="37"/>
  <c r="G181" i="37"/>
  <c r="G180" i="37"/>
  <c r="G179" i="37"/>
  <c r="G185" i="37" s="1"/>
  <c r="G178" i="37"/>
  <c r="I172" i="37"/>
  <c r="H172" i="37"/>
  <c r="G172" i="37"/>
  <c r="F172" i="37"/>
  <c r="E172" i="37"/>
  <c r="D172" i="37"/>
  <c r="K171" i="37"/>
  <c r="J171" i="37"/>
  <c r="K170" i="37"/>
  <c r="J170" i="37"/>
  <c r="K169" i="37"/>
  <c r="J169" i="37"/>
  <c r="K168" i="37"/>
  <c r="J168" i="37"/>
  <c r="K167" i="37"/>
  <c r="J167" i="37"/>
  <c r="K166" i="37"/>
  <c r="J166" i="37"/>
  <c r="K165" i="37"/>
  <c r="K172" i="37" s="1"/>
  <c r="J165" i="37"/>
  <c r="J172" i="37" s="1"/>
  <c r="J162" i="37"/>
  <c r="I162" i="37"/>
  <c r="H162" i="37"/>
  <c r="F162" i="37"/>
  <c r="E162" i="37"/>
  <c r="D162" i="37"/>
  <c r="G161" i="37"/>
  <c r="G160" i="37"/>
  <c r="G159" i="37"/>
  <c r="G158" i="37"/>
  <c r="G157" i="37"/>
  <c r="G156" i="37"/>
  <c r="G162" i="37" s="1"/>
  <c r="G155" i="37"/>
  <c r="N151" i="37"/>
  <c r="M151" i="37"/>
  <c r="L151" i="37"/>
  <c r="K151" i="37"/>
  <c r="J151" i="37"/>
  <c r="H151" i="37"/>
  <c r="G151" i="37"/>
  <c r="F151" i="37"/>
  <c r="E151" i="37"/>
  <c r="D151" i="37"/>
  <c r="I150" i="37"/>
  <c r="I149" i="37"/>
  <c r="I148" i="37"/>
  <c r="I147" i="37"/>
  <c r="I146" i="37"/>
  <c r="I145" i="37"/>
  <c r="I144" i="37"/>
  <c r="I151" i="37" s="1"/>
  <c r="F137" i="37"/>
  <c r="E137" i="37"/>
  <c r="D137" i="37"/>
  <c r="G136" i="37"/>
  <c r="G135" i="37"/>
  <c r="G134" i="37"/>
  <c r="G133" i="37"/>
  <c r="G132" i="37"/>
  <c r="G137" i="37" s="1"/>
  <c r="G131" i="37"/>
  <c r="L127" i="37"/>
  <c r="K127" i="37"/>
  <c r="I127" i="37"/>
  <c r="H127" i="37"/>
  <c r="G127" i="37"/>
  <c r="F127" i="37"/>
  <c r="E127" i="37"/>
  <c r="D127" i="37"/>
  <c r="L116" i="37"/>
  <c r="K116" i="37"/>
  <c r="I116" i="37"/>
  <c r="H116" i="37"/>
  <c r="G116" i="37"/>
  <c r="F116" i="37"/>
  <c r="E116" i="37"/>
  <c r="D116" i="37"/>
  <c r="M105" i="37"/>
  <c r="L105" i="37"/>
  <c r="K105" i="37"/>
  <c r="J105" i="37"/>
  <c r="I105" i="37"/>
  <c r="H105" i="37"/>
  <c r="G105" i="37"/>
  <c r="F105" i="37"/>
  <c r="E105" i="37"/>
  <c r="D105" i="37"/>
  <c r="K92" i="37"/>
  <c r="J92" i="37"/>
  <c r="I92" i="37"/>
  <c r="H92" i="37"/>
  <c r="G92" i="37"/>
  <c r="F92" i="37"/>
  <c r="E92" i="37"/>
  <c r="D92" i="37"/>
  <c r="O79" i="37"/>
  <c r="N79" i="37"/>
  <c r="M79" i="37"/>
  <c r="L79" i="37"/>
  <c r="K79" i="37"/>
  <c r="J79" i="37"/>
  <c r="I79" i="37"/>
  <c r="F79" i="37"/>
  <c r="E79" i="37"/>
  <c r="D79" i="37"/>
  <c r="G78" i="37"/>
  <c r="G77" i="37"/>
  <c r="G76" i="37"/>
  <c r="G75" i="37"/>
  <c r="G74" i="37"/>
  <c r="G73" i="37"/>
  <c r="G79" i="37" s="1"/>
  <c r="G72" i="37"/>
  <c r="L69" i="37"/>
  <c r="K69" i="37"/>
  <c r="I69" i="37"/>
  <c r="H69" i="37"/>
  <c r="G69" i="37"/>
  <c r="F69" i="37"/>
  <c r="E69" i="37"/>
  <c r="D69" i="37"/>
  <c r="K58" i="37"/>
  <c r="J58" i="37"/>
  <c r="I58" i="37"/>
  <c r="H58" i="37"/>
  <c r="G58" i="37"/>
  <c r="F58" i="37"/>
  <c r="E58" i="37"/>
  <c r="D58" i="37"/>
  <c r="E47" i="37"/>
  <c r="D47" i="37"/>
  <c r="G35" i="37"/>
  <c r="F35" i="37"/>
  <c r="E35" i="37"/>
  <c r="D35" i="37"/>
  <c r="G34" i="37"/>
  <c r="G33" i="37"/>
  <c r="G32" i="37"/>
  <c r="G31" i="37"/>
  <c r="G30" i="37"/>
  <c r="G29" i="37"/>
  <c r="G28" i="37"/>
  <c r="O24" i="37"/>
  <c r="N24" i="37"/>
  <c r="M24" i="37"/>
  <c r="L24" i="37"/>
  <c r="K24" i="37"/>
  <c r="J24" i="37"/>
  <c r="I24" i="37"/>
  <c r="H24" i="37"/>
  <c r="F24" i="37"/>
  <c r="G24" i="37" s="1"/>
  <c r="E24" i="37"/>
  <c r="D24" i="37"/>
  <c r="G23" i="37"/>
  <c r="G22" i="37"/>
  <c r="G21" i="37"/>
  <c r="G20" i="37"/>
  <c r="G19" i="37"/>
  <c r="G18" i="37"/>
  <c r="G17" i="37"/>
  <c r="B213" i="19" l="1"/>
  <c r="L203" i="19"/>
  <c r="L203" i="39" s="1"/>
  <c r="L209" i="39" s="1"/>
  <c r="K203" i="19"/>
  <c r="K203" i="39" s="1"/>
  <c r="K209" i="39" s="1"/>
  <c r="J203" i="19"/>
  <c r="J203" i="39" s="1"/>
  <c r="J209" i="39" s="1"/>
  <c r="I203" i="19"/>
  <c r="I203" i="39" s="1"/>
  <c r="I209" i="39" s="1"/>
  <c r="H203" i="19"/>
  <c r="H203" i="39" s="1"/>
  <c r="H209" i="39" s="1"/>
  <c r="G203" i="19"/>
  <c r="G203" i="39" s="1"/>
  <c r="G209" i="39" s="1"/>
  <c r="F203" i="19"/>
  <c r="F203" i="39" s="1"/>
  <c r="F209" i="39" s="1"/>
  <c r="E203" i="19"/>
  <c r="E203" i="39" s="1"/>
  <c r="E209" i="39" s="1"/>
  <c r="D203" i="19"/>
  <c r="D203" i="39" s="1"/>
  <c r="D209" i="39" s="1"/>
  <c r="A202" i="19"/>
  <c r="L190" i="19"/>
  <c r="L190" i="39" s="1"/>
  <c r="L196" i="39" s="1"/>
  <c r="K190" i="19"/>
  <c r="K190" i="39" s="1"/>
  <c r="K196" i="39" s="1"/>
  <c r="J190" i="19"/>
  <c r="J190" i="39" s="1"/>
  <c r="J196" i="39" s="1"/>
  <c r="I190" i="19"/>
  <c r="I190" i="39" s="1"/>
  <c r="I196" i="39" s="1"/>
  <c r="H190" i="19"/>
  <c r="H190" i="39" s="1"/>
  <c r="H196" i="39" s="1"/>
  <c r="G190" i="19"/>
  <c r="F190" i="19"/>
  <c r="F190" i="39" s="1"/>
  <c r="F196" i="39" s="1"/>
  <c r="E190" i="19"/>
  <c r="E190" i="39" s="1"/>
  <c r="D190" i="19"/>
  <c r="D190" i="39" s="1"/>
  <c r="D196" i="39" s="1"/>
  <c r="A189" i="19"/>
  <c r="O179" i="19"/>
  <c r="O179" i="39" s="1"/>
  <c r="O185" i="39" s="1"/>
  <c r="N179" i="19"/>
  <c r="N179" i="39" s="1"/>
  <c r="N185" i="39" s="1"/>
  <c r="M179" i="19"/>
  <c r="M179" i="39" s="1"/>
  <c r="M185" i="39" s="1"/>
  <c r="L179" i="19"/>
  <c r="L179" i="39" s="1"/>
  <c r="L185" i="39" s="1"/>
  <c r="K179" i="19"/>
  <c r="K179" i="39" s="1"/>
  <c r="K185" i="39" s="1"/>
  <c r="J179" i="19"/>
  <c r="J179" i="39" s="1"/>
  <c r="J185" i="39" s="1"/>
  <c r="I179" i="19"/>
  <c r="I179" i="39" s="1"/>
  <c r="I185" i="39" s="1"/>
  <c r="H179" i="19"/>
  <c r="H179" i="39" s="1"/>
  <c r="H185" i="39" s="1"/>
  <c r="G179" i="19"/>
  <c r="F179" i="19"/>
  <c r="F179" i="39" s="1"/>
  <c r="F185" i="39" s="1"/>
  <c r="E179" i="19"/>
  <c r="E179" i="39" s="1"/>
  <c r="E185" i="39" s="1"/>
  <c r="D179" i="19"/>
  <c r="D179" i="39" s="1"/>
  <c r="A178" i="19"/>
  <c r="K166" i="19"/>
  <c r="J166" i="19"/>
  <c r="I166" i="19"/>
  <c r="I166" i="39" s="1"/>
  <c r="I172" i="39" s="1"/>
  <c r="H166" i="19"/>
  <c r="H166" i="39" s="1"/>
  <c r="H172" i="39" s="1"/>
  <c r="G166" i="19"/>
  <c r="G166" i="39" s="1"/>
  <c r="G172" i="39" s="1"/>
  <c r="F166" i="19"/>
  <c r="F166" i="39" s="1"/>
  <c r="F172" i="39" s="1"/>
  <c r="E166" i="19"/>
  <c r="E166" i="39" s="1"/>
  <c r="D166" i="19"/>
  <c r="D166" i="39" s="1"/>
  <c r="A165" i="19"/>
  <c r="J156" i="19"/>
  <c r="J156" i="39" s="1"/>
  <c r="J162" i="39" s="1"/>
  <c r="I156" i="19"/>
  <c r="I156" i="39" s="1"/>
  <c r="I162" i="39" s="1"/>
  <c r="H156" i="19"/>
  <c r="H156" i="39" s="1"/>
  <c r="H162" i="39" s="1"/>
  <c r="G156" i="19"/>
  <c r="F156" i="19"/>
  <c r="F156" i="39" s="1"/>
  <c r="F162" i="39" s="1"/>
  <c r="E156" i="19"/>
  <c r="E156" i="39" s="1"/>
  <c r="D156" i="19"/>
  <c r="D156" i="39" s="1"/>
  <c r="D162" i="39" s="1"/>
  <c r="A155" i="19"/>
  <c r="N145" i="19"/>
  <c r="N145" i="39" s="1"/>
  <c r="N151" i="39" s="1"/>
  <c r="M145" i="19"/>
  <c r="M145" i="39" s="1"/>
  <c r="M151" i="39" s="1"/>
  <c r="L145" i="19"/>
  <c r="L145" i="39" s="1"/>
  <c r="L151" i="39" s="1"/>
  <c r="K145" i="19"/>
  <c r="K145" i="39" s="1"/>
  <c r="K151" i="39" s="1"/>
  <c r="J145" i="19"/>
  <c r="J145" i="39" s="1"/>
  <c r="J151" i="39" s="1"/>
  <c r="I145" i="19"/>
  <c r="H145" i="19"/>
  <c r="H145" i="39" s="1"/>
  <c r="H151" i="39" s="1"/>
  <c r="G145" i="19"/>
  <c r="G145" i="39" s="1"/>
  <c r="G151" i="39" s="1"/>
  <c r="F145" i="19"/>
  <c r="F145" i="39" s="1"/>
  <c r="F151" i="39" s="1"/>
  <c r="E145" i="19"/>
  <c r="E145" i="39" s="1"/>
  <c r="E151" i="39" s="1"/>
  <c r="D145" i="19"/>
  <c r="D145" i="39" s="1"/>
  <c r="A144" i="19"/>
  <c r="L121" i="19"/>
  <c r="K121" i="19"/>
  <c r="J121" i="19"/>
  <c r="I121" i="19"/>
  <c r="H121" i="19"/>
  <c r="G121" i="19"/>
  <c r="F121" i="19"/>
  <c r="E121" i="19"/>
  <c r="D121" i="19"/>
  <c r="D121" i="39" s="1"/>
  <c r="D127" i="39" s="1"/>
  <c r="A120" i="19"/>
  <c r="L110" i="19"/>
  <c r="L110" i="39" s="1"/>
  <c r="L116" i="39" s="1"/>
  <c r="K110" i="19"/>
  <c r="K110" i="39" s="1"/>
  <c r="K116" i="39" s="1"/>
  <c r="J110" i="19"/>
  <c r="J110" i="39" s="1"/>
  <c r="I110" i="19"/>
  <c r="I110" i="39" s="1"/>
  <c r="I116" i="39" s="1"/>
  <c r="H110" i="19"/>
  <c r="H110" i="39" s="1"/>
  <c r="H116" i="39" s="1"/>
  <c r="G110" i="19"/>
  <c r="G110" i="39" s="1"/>
  <c r="G116" i="39" s="1"/>
  <c r="F110" i="19"/>
  <c r="F110" i="39" s="1"/>
  <c r="F116" i="39" s="1"/>
  <c r="E110" i="19"/>
  <c r="E110" i="39" s="1"/>
  <c r="E116" i="39" s="1"/>
  <c r="D110" i="19"/>
  <c r="D110" i="39" s="1"/>
  <c r="D116" i="39" s="1"/>
  <c r="A109" i="19"/>
  <c r="M99" i="19"/>
  <c r="M99" i="39" s="1"/>
  <c r="M105" i="39" s="1"/>
  <c r="L99" i="19"/>
  <c r="L99" i="39" s="1"/>
  <c r="L105" i="39" s="1"/>
  <c r="K99" i="19"/>
  <c r="K99" i="39" s="1"/>
  <c r="K105" i="39" s="1"/>
  <c r="J99" i="19"/>
  <c r="J99" i="39" s="1"/>
  <c r="J105" i="39" s="1"/>
  <c r="I99" i="19"/>
  <c r="I99" i="39" s="1"/>
  <c r="I105" i="39" s="1"/>
  <c r="H99" i="19"/>
  <c r="H99" i="39" s="1"/>
  <c r="H105" i="39" s="1"/>
  <c r="G99" i="19"/>
  <c r="G99" i="39" s="1"/>
  <c r="G105" i="39" s="1"/>
  <c r="F99" i="19"/>
  <c r="F99" i="39" s="1"/>
  <c r="F105" i="39" s="1"/>
  <c r="E99" i="19"/>
  <c r="E99" i="39" s="1"/>
  <c r="E105" i="39" s="1"/>
  <c r="D99" i="19"/>
  <c r="D99" i="39" s="1"/>
  <c r="D105" i="39" s="1"/>
  <c r="A98" i="19"/>
  <c r="K86" i="19"/>
  <c r="K86" i="39" s="1"/>
  <c r="K92" i="39" s="1"/>
  <c r="J86" i="19"/>
  <c r="J86" i="39" s="1"/>
  <c r="J92" i="39" s="1"/>
  <c r="I86" i="19"/>
  <c r="I86" i="39" s="1"/>
  <c r="I92" i="39" s="1"/>
  <c r="H86" i="19"/>
  <c r="H86" i="39" s="1"/>
  <c r="H92" i="39" s="1"/>
  <c r="G86" i="19"/>
  <c r="G86" i="39" s="1"/>
  <c r="G92" i="39" s="1"/>
  <c r="F86" i="19"/>
  <c r="F86" i="39" s="1"/>
  <c r="F92" i="39" s="1"/>
  <c r="E86" i="19"/>
  <c r="E86" i="39" s="1"/>
  <c r="E92" i="39" s="1"/>
  <c r="D86" i="19"/>
  <c r="D86" i="39" s="1"/>
  <c r="D92" i="39" s="1"/>
  <c r="A85" i="19"/>
  <c r="O73" i="19"/>
  <c r="O73" i="39" s="1"/>
  <c r="O79" i="39" s="1"/>
  <c r="N73" i="19"/>
  <c r="N73" i="39" s="1"/>
  <c r="N79" i="39" s="1"/>
  <c r="M73" i="19"/>
  <c r="M73" i="39" s="1"/>
  <c r="M79" i="39" s="1"/>
  <c r="L73" i="19"/>
  <c r="L73" i="39" s="1"/>
  <c r="L79" i="39" s="1"/>
  <c r="K73" i="19"/>
  <c r="K73" i="39" s="1"/>
  <c r="K79" i="39" s="1"/>
  <c r="J73" i="19"/>
  <c r="J73" i="39" s="1"/>
  <c r="J79" i="39" s="1"/>
  <c r="I73" i="19"/>
  <c r="I73" i="39" s="1"/>
  <c r="I79" i="39" s="1"/>
  <c r="H73" i="19"/>
  <c r="H73" i="39" s="1"/>
  <c r="H79" i="39" s="1"/>
  <c r="G73" i="19"/>
  <c r="F73" i="19"/>
  <c r="F73" i="39" s="1"/>
  <c r="F79" i="39" s="1"/>
  <c r="E73" i="19"/>
  <c r="E73" i="39" s="1"/>
  <c r="E79" i="39" s="1"/>
  <c r="D73" i="19"/>
  <c r="D73" i="39" s="1"/>
  <c r="A72" i="19"/>
  <c r="L63" i="19"/>
  <c r="L63" i="39" s="1"/>
  <c r="L69" i="39" s="1"/>
  <c r="K63" i="19"/>
  <c r="K63" i="39" s="1"/>
  <c r="K69" i="39" s="1"/>
  <c r="J63" i="19"/>
  <c r="J63" i="39" s="1"/>
  <c r="I63" i="19"/>
  <c r="I63" i="39" s="1"/>
  <c r="I69" i="39" s="1"/>
  <c r="H63" i="19"/>
  <c r="H63" i="39" s="1"/>
  <c r="H69" i="39" s="1"/>
  <c r="G63" i="19"/>
  <c r="G63" i="39" s="1"/>
  <c r="G69" i="39" s="1"/>
  <c r="F63" i="19"/>
  <c r="F63" i="39" s="1"/>
  <c r="F69" i="39" s="1"/>
  <c r="E63" i="19"/>
  <c r="E63" i="39" s="1"/>
  <c r="E69" i="39" s="1"/>
  <c r="D63" i="19"/>
  <c r="D63" i="39" s="1"/>
  <c r="D69" i="39" s="1"/>
  <c r="A62" i="19"/>
  <c r="K52" i="19"/>
  <c r="K52" i="39" s="1"/>
  <c r="K58" i="39" s="1"/>
  <c r="J52" i="19"/>
  <c r="J52" i="39" s="1"/>
  <c r="J58" i="39" s="1"/>
  <c r="I52" i="19"/>
  <c r="I52" i="39" s="1"/>
  <c r="I58" i="39" s="1"/>
  <c r="H52" i="19"/>
  <c r="H52" i="39" s="1"/>
  <c r="H58" i="39" s="1"/>
  <c r="G52" i="19"/>
  <c r="G52" i="39" s="1"/>
  <c r="G58" i="39" s="1"/>
  <c r="F52" i="19"/>
  <c r="F52" i="39" s="1"/>
  <c r="F58" i="39" s="1"/>
  <c r="E52" i="19"/>
  <c r="E52" i="39" s="1"/>
  <c r="E58" i="39" s="1"/>
  <c r="D52" i="19"/>
  <c r="D52" i="39" s="1"/>
  <c r="D58" i="39" s="1"/>
  <c r="E41" i="19"/>
  <c r="E41" i="39" s="1"/>
  <c r="E47" i="39" s="1"/>
  <c r="D41" i="19"/>
  <c r="D41" i="39" s="1"/>
  <c r="D47" i="39" s="1"/>
  <c r="A40" i="19"/>
  <c r="G29" i="19"/>
  <c r="F29" i="19"/>
  <c r="F29" i="39" s="1"/>
  <c r="F35" i="39" s="1"/>
  <c r="E29" i="19"/>
  <c r="E29" i="39" s="1"/>
  <c r="E35" i="39" s="1"/>
  <c r="D29" i="19"/>
  <c r="D29" i="39" s="1"/>
  <c r="A28" i="19"/>
  <c r="O18" i="19"/>
  <c r="O18" i="39" s="1"/>
  <c r="O24" i="39" s="1"/>
  <c r="N18" i="19"/>
  <c r="N18" i="39" s="1"/>
  <c r="N24" i="39" s="1"/>
  <c r="M18" i="19"/>
  <c r="M18" i="39" s="1"/>
  <c r="M24" i="39" s="1"/>
  <c r="L18" i="19"/>
  <c r="L18" i="39" s="1"/>
  <c r="L24" i="39" s="1"/>
  <c r="K18" i="19"/>
  <c r="K18" i="39" s="1"/>
  <c r="K24" i="39" s="1"/>
  <c r="J18" i="19"/>
  <c r="J18" i="39" s="1"/>
  <c r="J24" i="39" s="1"/>
  <c r="I18" i="19"/>
  <c r="I18" i="39" s="1"/>
  <c r="I24" i="39" s="1"/>
  <c r="H18" i="19"/>
  <c r="H18" i="39" s="1"/>
  <c r="H24" i="39" s="1"/>
  <c r="G18" i="19"/>
  <c r="F18" i="19"/>
  <c r="F18" i="39" s="1"/>
  <c r="F24" i="39" s="1"/>
  <c r="E18" i="19"/>
  <c r="E18" i="39" s="1"/>
  <c r="E24" i="39" s="1"/>
  <c r="D18" i="19"/>
  <c r="D18" i="39" s="1"/>
  <c r="A17" i="19"/>
  <c r="D172" i="39" l="1"/>
  <c r="J166" i="39"/>
  <c r="J172" i="39" s="1"/>
  <c r="D24" i="39"/>
  <c r="G24" i="39" s="1"/>
  <c r="G18" i="39"/>
  <c r="D79" i="39"/>
  <c r="G73" i="39"/>
  <c r="G79" i="39" s="1"/>
  <c r="G190" i="39"/>
  <c r="G196" i="39" s="1"/>
  <c r="E196" i="39"/>
  <c r="I145" i="39"/>
  <c r="I151" i="39" s="1"/>
  <c r="D151" i="39"/>
  <c r="G29" i="39"/>
  <c r="D35" i="39"/>
  <c r="G35" i="39" s="1"/>
  <c r="G156" i="39"/>
  <c r="G162" i="39" s="1"/>
  <c r="E162" i="39"/>
  <c r="K166" i="39"/>
  <c r="K172" i="39" s="1"/>
  <c r="E172" i="39"/>
  <c r="G179" i="39"/>
  <c r="G185" i="39" s="1"/>
  <c r="D185" i="39"/>
  <c r="D219" i="19"/>
  <c r="D213" i="19"/>
  <c r="F219" i="36" l="1"/>
  <c r="F218" i="11"/>
  <c r="I219" i="33" l="1"/>
  <c r="H219" i="33"/>
  <c r="G219" i="33"/>
  <c r="F219" i="33"/>
  <c r="E219" i="33"/>
  <c r="D219" i="33"/>
  <c r="D222" i="33" s="1"/>
  <c r="E213" i="33"/>
  <c r="L209" i="33"/>
  <c r="K209" i="33"/>
  <c r="J209" i="33"/>
  <c r="I209" i="33"/>
  <c r="H209" i="33"/>
  <c r="G209" i="33"/>
  <c r="F209" i="33"/>
  <c r="E209" i="33"/>
  <c r="D209" i="33"/>
  <c r="L196" i="33"/>
  <c r="K196" i="33"/>
  <c r="I196" i="33"/>
  <c r="H196" i="33"/>
  <c r="F196" i="33"/>
  <c r="E196" i="33"/>
  <c r="D196" i="33"/>
  <c r="G195" i="33"/>
  <c r="G194" i="33"/>
  <c r="G193" i="33"/>
  <c r="G192" i="33"/>
  <c r="G191" i="33"/>
  <c r="G190" i="33"/>
  <c r="G189" i="33"/>
  <c r="G196" i="33" s="1"/>
  <c r="O185" i="33"/>
  <c r="N185" i="33"/>
  <c r="M185" i="33"/>
  <c r="L185" i="33"/>
  <c r="K185" i="33"/>
  <c r="J185" i="33"/>
  <c r="I185" i="33"/>
  <c r="H185" i="33"/>
  <c r="F185" i="33"/>
  <c r="E185" i="33"/>
  <c r="D185" i="33"/>
  <c r="G184" i="33"/>
  <c r="G183" i="33"/>
  <c r="G182" i="33"/>
  <c r="G181" i="33"/>
  <c r="G180" i="33"/>
  <c r="G179" i="33"/>
  <c r="G178" i="33"/>
  <c r="G185" i="33" s="1"/>
  <c r="I172" i="33"/>
  <c r="H172" i="33"/>
  <c r="G172" i="33"/>
  <c r="F172" i="33"/>
  <c r="E172" i="33"/>
  <c r="D172" i="33"/>
  <c r="K171" i="33"/>
  <c r="J171" i="33"/>
  <c r="K170" i="33"/>
  <c r="J170" i="33"/>
  <c r="K169" i="33"/>
  <c r="J169" i="33"/>
  <c r="K168" i="33"/>
  <c r="J168" i="33"/>
  <c r="K167" i="33"/>
  <c r="J167" i="33"/>
  <c r="K166" i="33"/>
  <c r="J166" i="33"/>
  <c r="K165" i="33"/>
  <c r="K172" i="33" s="1"/>
  <c r="J165" i="33"/>
  <c r="J172" i="33" s="1"/>
  <c r="J162" i="33"/>
  <c r="I162" i="33"/>
  <c r="H162" i="33"/>
  <c r="F162" i="33"/>
  <c r="E162" i="33"/>
  <c r="D162" i="33"/>
  <c r="G161" i="33"/>
  <c r="G160" i="33"/>
  <c r="G159" i="33"/>
  <c r="G158" i="33"/>
  <c r="G157" i="33"/>
  <c r="G156" i="33"/>
  <c r="G155" i="33"/>
  <c r="G162" i="33" s="1"/>
  <c r="N151" i="33"/>
  <c r="M151" i="33"/>
  <c r="L151" i="33"/>
  <c r="K151" i="33"/>
  <c r="J151" i="33"/>
  <c r="H151" i="33"/>
  <c r="G151" i="33"/>
  <c r="F151" i="33"/>
  <c r="E151" i="33"/>
  <c r="D151" i="33"/>
  <c r="I150" i="33"/>
  <c r="I149" i="33"/>
  <c r="I148" i="33"/>
  <c r="I147" i="33"/>
  <c r="I146" i="33"/>
  <c r="I145" i="33"/>
  <c r="I144" i="33"/>
  <c r="I151" i="33" s="1"/>
  <c r="F137" i="33"/>
  <c r="E137" i="33"/>
  <c r="D137" i="33"/>
  <c r="G136" i="33"/>
  <c r="G135" i="33"/>
  <c r="G134" i="33"/>
  <c r="G133" i="33"/>
  <c r="G132" i="33"/>
  <c r="G131" i="33"/>
  <c r="G137" i="33" s="1"/>
  <c r="L127" i="33"/>
  <c r="K127" i="33"/>
  <c r="I127" i="33"/>
  <c r="H127" i="33"/>
  <c r="G127" i="33"/>
  <c r="F127" i="33"/>
  <c r="E127" i="33"/>
  <c r="D127" i="33"/>
  <c r="L116" i="33"/>
  <c r="K116" i="33"/>
  <c r="I116" i="33"/>
  <c r="H116" i="33"/>
  <c r="G116" i="33"/>
  <c r="F116" i="33"/>
  <c r="E116" i="33"/>
  <c r="D116" i="33"/>
  <c r="M105" i="33"/>
  <c r="L105" i="33"/>
  <c r="K105" i="33"/>
  <c r="J105" i="33"/>
  <c r="I105" i="33"/>
  <c r="H105" i="33"/>
  <c r="G105" i="33"/>
  <c r="F105" i="33"/>
  <c r="E105" i="33"/>
  <c r="D105" i="33"/>
  <c r="K92" i="33"/>
  <c r="J92" i="33"/>
  <c r="I92" i="33"/>
  <c r="H92" i="33"/>
  <c r="G92" i="33"/>
  <c r="F92" i="33"/>
  <c r="E92" i="33"/>
  <c r="D92" i="33"/>
  <c r="O79" i="33"/>
  <c r="N79" i="33"/>
  <c r="M79" i="33"/>
  <c r="L79" i="33"/>
  <c r="K79" i="33"/>
  <c r="J79" i="33"/>
  <c r="I79" i="33"/>
  <c r="F79" i="33"/>
  <c r="E79" i="33"/>
  <c r="D79" i="33"/>
  <c r="G78" i="33"/>
  <c r="G77" i="33"/>
  <c r="G76" i="33"/>
  <c r="G75" i="33"/>
  <c r="G74" i="33"/>
  <c r="G73" i="33"/>
  <c r="G72" i="33"/>
  <c r="G79" i="33" s="1"/>
  <c r="L69" i="33"/>
  <c r="K69" i="33"/>
  <c r="I69" i="33"/>
  <c r="H69" i="33"/>
  <c r="G69" i="33"/>
  <c r="F69" i="33"/>
  <c r="E69" i="33"/>
  <c r="D69" i="33"/>
  <c r="K58" i="33"/>
  <c r="J58" i="33"/>
  <c r="I58" i="33"/>
  <c r="H58" i="33"/>
  <c r="G58" i="33"/>
  <c r="F58" i="33"/>
  <c r="E58" i="33"/>
  <c r="D58" i="33"/>
  <c r="E47" i="33"/>
  <c r="D47" i="33"/>
  <c r="F35" i="33"/>
  <c r="E35" i="33"/>
  <c r="G35" i="33" s="1"/>
  <c r="D35" i="33"/>
  <c r="G34" i="33"/>
  <c r="G33" i="33"/>
  <c r="G32" i="33"/>
  <c r="G31" i="33"/>
  <c r="G30" i="33"/>
  <c r="G29" i="33"/>
  <c r="G28" i="33"/>
  <c r="O24" i="33"/>
  <c r="N24" i="33"/>
  <c r="M24" i="33"/>
  <c r="L24" i="33"/>
  <c r="K24" i="33"/>
  <c r="J24" i="33"/>
  <c r="I24" i="33"/>
  <c r="H24" i="33"/>
  <c r="F24" i="33"/>
  <c r="E24" i="33"/>
  <c r="D24" i="33"/>
  <c r="G24" i="33" s="1"/>
  <c r="G23" i="33"/>
  <c r="G22" i="33"/>
  <c r="G21" i="33"/>
  <c r="G20" i="33"/>
  <c r="G19" i="33"/>
  <c r="G18" i="33"/>
  <c r="G17" i="33"/>
  <c r="I219" i="13" l="1"/>
  <c r="H219" i="13"/>
  <c r="G219" i="13"/>
  <c r="F219" i="13"/>
  <c r="E219" i="13"/>
  <c r="D219" i="13"/>
  <c r="L209" i="13"/>
  <c r="K209" i="13"/>
  <c r="J209" i="13"/>
  <c r="I209" i="13"/>
  <c r="H209" i="13"/>
  <c r="G209" i="13"/>
  <c r="F209" i="13"/>
  <c r="E209" i="13"/>
  <c r="D209" i="13"/>
  <c r="L196" i="13"/>
  <c r="K196" i="13"/>
  <c r="J196" i="13"/>
  <c r="I196" i="13"/>
  <c r="H196" i="13"/>
  <c r="F196" i="13"/>
  <c r="E196" i="13"/>
  <c r="D196" i="13"/>
  <c r="G195" i="13"/>
  <c r="G194" i="13"/>
  <c r="G193" i="13"/>
  <c r="G192" i="13"/>
  <c r="G191" i="13"/>
  <c r="G190" i="13"/>
  <c r="G196" i="13" s="1"/>
  <c r="G189" i="13"/>
  <c r="O185" i="13"/>
  <c r="N185" i="13"/>
  <c r="M185" i="13"/>
  <c r="L185" i="13"/>
  <c r="K185" i="13"/>
  <c r="J185" i="13"/>
  <c r="I185" i="13"/>
  <c r="H185" i="13"/>
  <c r="F185" i="13"/>
  <c r="E185" i="13"/>
  <c r="D185" i="13"/>
  <c r="G184" i="13"/>
  <c r="G183" i="13"/>
  <c r="G182" i="13"/>
  <c r="G181" i="13"/>
  <c r="G180" i="13"/>
  <c r="G179" i="13"/>
  <c r="G178" i="13"/>
  <c r="G185" i="13" s="1"/>
  <c r="I172" i="13"/>
  <c r="H172" i="13"/>
  <c r="G172" i="13"/>
  <c r="F172" i="13"/>
  <c r="E172" i="13"/>
  <c r="D172" i="13"/>
  <c r="K171" i="13"/>
  <c r="J171" i="13"/>
  <c r="K170" i="13"/>
  <c r="J170" i="13"/>
  <c r="K169" i="13"/>
  <c r="J169" i="13"/>
  <c r="K168" i="13"/>
  <c r="J168" i="13"/>
  <c r="K167" i="13"/>
  <c r="J167" i="13"/>
  <c r="K166" i="13"/>
  <c r="J166" i="13"/>
  <c r="K165" i="13"/>
  <c r="K172" i="13" s="1"/>
  <c r="J165" i="13"/>
  <c r="J172" i="13" s="1"/>
  <c r="J162" i="13"/>
  <c r="I162" i="13"/>
  <c r="H162" i="13"/>
  <c r="F162" i="13"/>
  <c r="E162" i="13"/>
  <c r="D162" i="13"/>
  <c r="G161" i="13"/>
  <c r="G160" i="13"/>
  <c r="G159" i="13"/>
  <c r="G158" i="13"/>
  <c r="G157" i="13"/>
  <c r="G156" i="13"/>
  <c r="G155" i="13"/>
  <c r="G162" i="13" s="1"/>
  <c r="N151" i="13"/>
  <c r="M151" i="13"/>
  <c r="L151" i="13"/>
  <c r="K151" i="13"/>
  <c r="J151" i="13"/>
  <c r="H151" i="13"/>
  <c r="G151" i="13"/>
  <c r="F151" i="13"/>
  <c r="E151" i="13"/>
  <c r="D151" i="13"/>
  <c r="I150" i="13"/>
  <c r="I149" i="13"/>
  <c r="I148" i="13"/>
  <c r="I147" i="13"/>
  <c r="I146" i="13"/>
  <c r="I145" i="13"/>
  <c r="I144" i="13"/>
  <c r="I151" i="13" s="1"/>
  <c r="F137" i="13"/>
  <c r="E137" i="13"/>
  <c r="D137" i="13"/>
  <c r="G136" i="13"/>
  <c r="G135" i="13"/>
  <c r="G134" i="13"/>
  <c r="G133" i="13"/>
  <c r="G132" i="13"/>
  <c r="G131" i="13"/>
  <c r="G137" i="13" s="1"/>
  <c r="L127" i="13"/>
  <c r="K127" i="13"/>
  <c r="I127" i="13"/>
  <c r="H127" i="13"/>
  <c r="G127" i="13"/>
  <c r="F127" i="13"/>
  <c r="E127" i="13"/>
  <c r="D127" i="13"/>
  <c r="L116" i="13"/>
  <c r="K116" i="13"/>
  <c r="I116" i="13"/>
  <c r="H116" i="13"/>
  <c r="G116" i="13"/>
  <c r="F116" i="13"/>
  <c r="E116" i="13"/>
  <c r="D116" i="13"/>
  <c r="L105" i="13"/>
  <c r="K105" i="13"/>
  <c r="J105" i="13"/>
  <c r="I105" i="13"/>
  <c r="H105" i="13"/>
  <c r="G105" i="13"/>
  <c r="F105" i="13"/>
  <c r="E105" i="13"/>
  <c r="D105" i="13"/>
  <c r="K92" i="13"/>
  <c r="J92" i="13"/>
  <c r="I92" i="13"/>
  <c r="H92" i="13"/>
  <c r="G92" i="13"/>
  <c r="F92" i="13"/>
  <c r="E92" i="13"/>
  <c r="D92" i="13"/>
  <c r="O79" i="13"/>
  <c r="N79" i="13"/>
  <c r="M79" i="13"/>
  <c r="L79" i="13"/>
  <c r="K79" i="13"/>
  <c r="J79" i="13"/>
  <c r="I79" i="13"/>
  <c r="F79" i="13"/>
  <c r="E79" i="13"/>
  <c r="D79" i="13"/>
  <c r="G78" i="13"/>
  <c r="G77" i="13"/>
  <c r="G76" i="13"/>
  <c r="G75" i="13"/>
  <c r="G74" i="13"/>
  <c r="G73" i="13"/>
  <c r="G72" i="13"/>
  <c r="G79" i="13" s="1"/>
  <c r="L69" i="13"/>
  <c r="K69" i="13"/>
  <c r="I69" i="13"/>
  <c r="H69" i="13"/>
  <c r="G69" i="13"/>
  <c r="F69" i="13"/>
  <c r="E69" i="13"/>
  <c r="D69" i="13"/>
  <c r="K58" i="13"/>
  <c r="J58" i="13"/>
  <c r="I58" i="13"/>
  <c r="H58" i="13"/>
  <c r="G58" i="13"/>
  <c r="F58" i="13"/>
  <c r="E58" i="13"/>
  <c r="D58" i="13"/>
  <c r="E47" i="13"/>
  <c r="D47" i="13"/>
  <c r="F35" i="13"/>
  <c r="E35" i="13"/>
  <c r="G35" i="13" s="1"/>
  <c r="D35" i="13"/>
  <c r="G34" i="13"/>
  <c r="G33" i="13"/>
  <c r="G32" i="13"/>
  <c r="G31" i="13"/>
  <c r="G30" i="13"/>
  <c r="G29" i="13"/>
  <c r="G28" i="13"/>
  <c r="O24" i="13"/>
  <c r="N24" i="13"/>
  <c r="M24" i="13"/>
  <c r="L24" i="13"/>
  <c r="K24" i="13"/>
  <c r="J24" i="13"/>
  <c r="I24" i="13"/>
  <c r="H24" i="13"/>
  <c r="F24" i="13"/>
  <c r="E24" i="13"/>
  <c r="D24" i="13"/>
  <c r="G24" i="13" s="1"/>
  <c r="G23" i="13"/>
  <c r="G22" i="13"/>
  <c r="G21" i="13"/>
  <c r="G20" i="13"/>
  <c r="G18" i="13"/>
  <c r="G17" i="13"/>
  <c r="G18" i="35" l="1"/>
  <c r="G18" i="24"/>
  <c r="I219" i="36" l="1"/>
  <c r="H219" i="36"/>
  <c r="G219" i="36"/>
  <c r="E219" i="36"/>
  <c r="D219" i="36"/>
  <c r="E213" i="36"/>
  <c r="D213" i="36"/>
  <c r="J213" i="36" s="1"/>
  <c r="L209" i="36"/>
  <c r="K209" i="36"/>
  <c r="J209" i="36"/>
  <c r="I209" i="36"/>
  <c r="H209" i="36"/>
  <c r="G209" i="36"/>
  <c r="F209" i="36"/>
  <c r="E209" i="36"/>
  <c r="D209" i="36"/>
  <c r="L196" i="36"/>
  <c r="K196" i="36"/>
  <c r="J196" i="36"/>
  <c r="I196" i="36"/>
  <c r="H196" i="36"/>
  <c r="F196" i="36"/>
  <c r="E196" i="36"/>
  <c r="G195" i="36"/>
  <c r="G194" i="36"/>
  <c r="G193" i="36"/>
  <c r="G192" i="36"/>
  <c r="G191" i="36"/>
  <c r="G190" i="36"/>
  <c r="G196" i="36" s="1"/>
  <c r="G189" i="36"/>
  <c r="O185" i="36"/>
  <c r="N185" i="36"/>
  <c r="M185" i="36"/>
  <c r="L185" i="36"/>
  <c r="F185" i="36"/>
  <c r="G184" i="36"/>
  <c r="G183" i="36"/>
  <c r="G182" i="36"/>
  <c r="G181" i="36"/>
  <c r="G180" i="36"/>
  <c r="G179" i="36"/>
  <c r="G178" i="36"/>
  <c r="G185" i="36" s="1"/>
  <c r="I172" i="36"/>
  <c r="H172" i="36"/>
  <c r="G172" i="36"/>
  <c r="F172" i="36"/>
  <c r="E172" i="36"/>
  <c r="D172" i="36"/>
  <c r="K171" i="36"/>
  <c r="J171" i="36"/>
  <c r="K170" i="36"/>
  <c r="J170" i="36"/>
  <c r="K169" i="36"/>
  <c r="J169" i="36"/>
  <c r="K168" i="36"/>
  <c r="J168" i="36"/>
  <c r="K167" i="36"/>
  <c r="J167" i="36"/>
  <c r="K166" i="36"/>
  <c r="J166" i="36"/>
  <c r="K165" i="36"/>
  <c r="K172" i="36" s="1"/>
  <c r="J165" i="36"/>
  <c r="J172" i="36" s="1"/>
  <c r="J162" i="36"/>
  <c r="I162" i="36"/>
  <c r="H162" i="36"/>
  <c r="F162" i="36"/>
  <c r="E162" i="36"/>
  <c r="D162" i="36"/>
  <c r="G161" i="36"/>
  <c r="G160" i="36"/>
  <c r="G159" i="36"/>
  <c r="G158" i="36"/>
  <c r="G156" i="36"/>
  <c r="G162" i="36" s="1"/>
  <c r="G155" i="36"/>
  <c r="N151" i="36"/>
  <c r="M151" i="36"/>
  <c r="L151" i="36"/>
  <c r="K151" i="36"/>
  <c r="J151" i="36"/>
  <c r="H151" i="36"/>
  <c r="G151" i="36"/>
  <c r="F151" i="36"/>
  <c r="E151" i="36"/>
  <c r="D151" i="36"/>
  <c r="I150" i="36"/>
  <c r="I149" i="36"/>
  <c r="I148" i="36"/>
  <c r="I147" i="36"/>
  <c r="I146" i="36"/>
  <c r="I145" i="36"/>
  <c r="I144" i="36"/>
  <c r="I151" i="36" s="1"/>
  <c r="F137" i="36"/>
  <c r="E137" i="36"/>
  <c r="D137" i="36"/>
  <c r="G136" i="36"/>
  <c r="G135" i="36"/>
  <c r="G134" i="36"/>
  <c r="G133" i="36"/>
  <c r="G132" i="36"/>
  <c r="G137" i="36" s="1"/>
  <c r="G131" i="36"/>
  <c r="L127" i="36"/>
  <c r="K127" i="36"/>
  <c r="I127" i="36"/>
  <c r="H127" i="36"/>
  <c r="G127" i="36"/>
  <c r="F127" i="36"/>
  <c r="E127" i="36"/>
  <c r="D127" i="36"/>
  <c r="L116" i="36"/>
  <c r="K116" i="36"/>
  <c r="I116" i="36"/>
  <c r="H116" i="36"/>
  <c r="G116" i="36"/>
  <c r="F116" i="36"/>
  <c r="E116" i="36"/>
  <c r="D116" i="36"/>
  <c r="M105" i="36"/>
  <c r="L105" i="36"/>
  <c r="K105" i="36"/>
  <c r="J105" i="36"/>
  <c r="I105" i="36"/>
  <c r="H105" i="36"/>
  <c r="G105" i="36"/>
  <c r="F105" i="36"/>
  <c r="E105" i="36"/>
  <c r="D105" i="36"/>
  <c r="K92" i="36"/>
  <c r="J92" i="36"/>
  <c r="I92" i="36"/>
  <c r="H92" i="36"/>
  <c r="G92" i="36"/>
  <c r="F92" i="36"/>
  <c r="E92" i="36"/>
  <c r="D92" i="36"/>
  <c r="O79" i="36"/>
  <c r="N79" i="36"/>
  <c r="M79" i="36"/>
  <c r="L79" i="36"/>
  <c r="K79" i="36"/>
  <c r="J79" i="36"/>
  <c r="I79" i="36"/>
  <c r="F79" i="36"/>
  <c r="E79" i="36"/>
  <c r="D79" i="36"/>
  <c r="G78" i="36"/>
  <c r="G77" i="36"/>
  <c r="G76" i="36"/>
  <c r="G75" i="36"/>
  <c r="G72" i="36"/>
  <c r="G79" i="36" s="1"/>
  <c r="L69" i="36"/>
  <c r="K69" i="36"/>
  <c r="I69" i="36"/>
  <c r="H69" i="36"/>
  <c r="G69" i="36"/>
  <c r="F69" i="36"/>
  <c r="E69" i="36"/>
  <c r="D69" i="36"/>
  <c r="K58" i="36"/>
  <c r="J58" i="36"/>
  <c r="I58" i="36"/>
  <c r="H58" i="36"/>
  <c r="G58" i="36"/>
  <c r="F58" i="36"/>
  <c r="E58" i="36"/>
  <c r="D58" i="36"/>
  <c r="E47" i="36"/>
  <c r="D47" i="36"/>
  <c r="F35" i="36"/>
  <c r="E35" i="36"/>
  <c r="D35" i="36"/>
  <c r="G35" i="36" s="1"/>
  <c r="G34" i="36"/>
  <c r="G33" i="36"/>
  <c r="G32" i="36"/>
  <c r="G31" i="36"/>
  <c r="G30" i="36"/>
  <c r="G29" i="36"/>
  <c r="G28" i="36"/>
  <c r="O24" i="36"/>
  <c r="N24" i="36"/>
  <c r="M24" i="36"/>
  <c r="L24" i="36"/>
  <c r="K24" i="36"/>
  <c r="J24" i="36"/>
  <c r="I24" i="36"/>
  <c r="H24" i="36"/>
  <c r="F24" i="36"/>
  <c r="E24" i="36"/>
  <c r="D24" i="36"/>
  <c r="G24" i="36" s="1"/>
  <c r="G23" i="36"/>
  <c r="G22" i="36"/>
  <c r="G21" i="36"/>
  <c r="G20" i="36"/>
  <c r="G19" i="36"/>
  <c r="G18" i="36"/>
  <c r="G17" i="36"/>
  <c r="I219" i="35" l="1"/>
  <c r="H219" i="35"/>
  <c r="G219" i="35"/>
  <c r="F219" i="35"/>
  <c r="E219" i="35"/>
  <c r="D219" i="35"/>
  <c r="F213" i="35"/>
  <c r="J213" i="35" s="1"/>
  <c r="L209" i="35"/>
  <c r="K209" i="35"/>
  <c r="J209" i="35"/>
  <c r="I209" i="35"/>
  <c r="H209" i="35"/>
  <c r="G209" i="35"/>
  <c r="F209" i="35"/>
  <c r="E209" i="35"/>
  <c r="D209" i="35"/>
  <c r="L196" i="35"/>
  <c r="K196" i="35"/>
  <c r="J196" i="35"/>
  <c r="I196" i="35"/>
  <c r="H196" i="35"/>
  <c r="E196" i="35"/>
  <c r="D196" i="35"/>
  <c r="G195" i="35"/>
  <c r="G194" i="35"/>
  <c r="G193" i="35"/>
  <c r="G192" i="35"/>
  <c r="G191" i="35"/>
  <c r="G190" i="35"/>
  <c r="G189" i="35"/>
  <c r="G196" i="35" s="1"/>
  <c r="O185" i="35"/>
  <c r="N185" i="35"/>
  <c r="M185" i="35"/>
  <c r="L185" i="35"/>
  <c r="K185" i="35"/>
  <c r="J185" i="35"/>
  <c r="I185" i="35"/>
  <c r="H185" i="35"/>
  <c r="F185" i="35"/>
  <c r="E185" i="35"/>
  <c r="D185" i="35"/>
  <c r="G184" i="35"/>
  <c r="G183" i="35"/>
  <c r="G182" i="35"/>
  <c r="G181" i="35"/>
  <c r="G179" i="35"/>
  <c r="G185" i="35" s="1"/>
  <c r="G178" i="35"/>
  <c r="I172" i="35"/>
  <c r="H172" i="35"/>
  <c r="G172" i="35"/>
  <c r="F172" i="35"/>
  <c r="E172" i="35"/>
  <c r="D172" i="35"/>
  <c r="K171" i="35"/>
  <c r="J171" i="35"/>
  <c r="K170" i="35"/>
  <c r="J170" i="35"/>
  <c r="K169" i="35"/>
  <c r="J169" i="35"/>
  <c r="K168" i="35"/>
  <c r="J168" i="35"/>
  <c r="K167" i="35"/>
  <c r="J167" i="35"/>
  <c r="K166" i="35"/>
  <c r="J166" i="35"/>
  <c r="K165" i="35"/>
  <c r="K172" i="35" s="1"/>
  <c r="J165" i="35"/>
  <c r="J172" i="35" s="1"/>
  <c r="J162" i="35"/>
  <c r="I162" i="35"/>
  <c r="H162" i="35"/>
  <c r="F162" i="35"/>
  <c r="E162" i="35"/>
  <c r="D162" i="35"/>
  <c r="G161" i="35"/>
  <c r="G160" i="35"/>
  <c r="G159" i="35"/>
  <c r="G158" i="35"/>
  <c r="G157" i="35"/>
  <c r="G156" i="35"/>
  <c r="G155" i="35"/>
  <c r="G162" i="35" s="1"/>
  <c r="N151" i="35"/>
  <c r="M151" i="35"/>
  <c r="L151" i="35"/>
  <c r="K151" i="35"/>
  <c r="J151" i="35"/>
  <c r="H151" i="35"/>
  <c r="G151" i="35"/>
  <c r="F151" i="35"/>
  <c r="E151" i="35"/>
  <c r="D151" i="35"/>
  <c r="I150" i="35"/>
  <c r="I149" i="35"/>
  <c r="I148" i="35"/>
  <c r="I147" i="35"/>
  <c r="I146" i="35"/>
  <c r="I145" i="35"/>
  <c r="I144" i="35"/>
  <c r="I151" i="35" s="1"/>
  <c r="F137" i="35"/>
  <c r="E137" i="35"/>
  <c r="D137" i="35"/>
  <c r="G136" i="35"/>
  <c r="G135" i="35"/>
  <c r="G134" i="35"/>
  <c r="G133" i="35"/>
  <c r="G132" i="35"/>
  <c r="G131" i="35"/>
  <c r="G137" i="35" s="1"/>
  <c r="L127" i="35"/>
  <c r="K127" i="35"/>
  <c r="I127" i="35"/>
  <c r="H127" i="35"/>
  <c r="G127" i="35"/>
  <c r="F127" i="35"/>
  <c r="E127" i="35"/>
  <c r="D127" i="35"/>
  <c r="L116" i="35"/>
  <c r="K116" i="35"/>
  <c r="I116" i="35"/>
  <c r="H116" i="35"/>
  <c r="G116" i="35"/>
  <c r="F116" i="35"/>
  <c r="E116" i="35"/>
  <c r="D116" i="35"/>
  <c r="M105" i="35"/>
  <c r="L105" i="35"/>
  <c r="K105" i="35"/>
  <c r="J105" i="35"/>
  <c r="I105" i="35"/>
  <c r="H105" i="35"/>
  <c r="G105" i="35"/>
  <c r="F105" i="35"/>
  <c r="E105" i="35"/>
  <c r="D105" i="35"/>
  <c r="K92" i="35"/>
  <c r="J92" i="35"/>
  <c r="I92" i="35"/>
  <c r="H92" i="35"/>
  <c r="G92" i="35"/>
  <c r="F92" i="35"/>
  <c r="E92" i="35"/>
  <c r="D92" i="35"/>
  <c r="O79" i="35"/>
  <c r="N79" i="35"/>
  <c r="M79" i="35"/>
  <c r="L79" i="35"/>
  <c r="K79" i="35"/>
  <c r="J79" i="35"/>
  <c r="I79" i="35"/>
  <c r="F79" i="35"/>
  <c r="E79" i="35"/>
  <c r="D79" i="35"/>
  <c r="G78" i="35"/>
  <c r="G77" i="35"/>
  <c r="G76" i="35"/>
  <c r="G75" i="35"/>
  <c r="G74" i="35"/>
  <c r="G73" i="35"/>
  <c r="G72" i="35"/>
  <c r="G79" i="35" s="1"/>
  <c r="L69" i="35"/>
  <c r="K69" i="35"/>
  <c r="I69" i="35"/>
  <c r="H69" i="35"/>
  <c r="G69" i="35"/>
  <c r="F69" i="35"/>
  <c r="E69" i="35"/>
  <c r="D69" i="35"/>
  <c r="K58" i="35"/>
  <c r="J58" i="35"/>
  <c r="I58" i="35"/>
  <c r="H58" i="35"/>
  <c r="G58" i="35"/>
  <c r="F58" i="35"/>
  <c r="E58" i="35"/>
  <c r="D58" i="35"/>
  <c r="E47" i="35"/>
  <c r="D47" i="35"/>
  <c r="F35" i="35"/>
  <c r="G35" i="35" s="1"/>
  <c r="E35" i="35"/>
  <c r="D35" i="35"/>
  <c r="G34" i="35"/>
  <c r="G33" i="35"/>
  <c r="G32" i="35"/>
  <c r="G31" i="35"/>
  <c r="G28" i="35"/>
  <c r="O24" i="35"/>
  <c r="N24" i="35"/>
  <c r="M24" i="35"/>
  <c r="L24" i="35"/>
  <c r="K24" i="35"/>
  <c r="J24" i="35"/>
  <c r="I24" i="35"/>
  <c r="H24" i="35"/>
  <c r="G24" i="35"/>
  <c r="F24" i="35"/>
  <c r="E24" i="35"/>
  <c r="D24" i="35"/>
  <c r="G23" i="35"/>
  <c r="G22" i="35"/>
  <c r="G21" i="35"/>
  <c r="G20" i="35"/>
  <c r="G19" i="35"/>
  <c r="G17" i="35"/>
  <c r="I219" i="34" l="1"/>
  <c r="H219" i="34"/>
  <c r="G219" i="34"/>
  <c r="F219" i="34"/>
  <c r="E219" i="34"/>
  <c r="D219" i="34"/>
  <c r="F213" i="34"/>
  <c r="L209" i="34"/>
  <c r="K209" i="34"/>
  <c r="J209" i="34"/>
  <c r="I209" i="34"/>
  <c r="H209" i="34"/>
  <c r="G209" i="34"/>
  <c r="F209" i="34"/>
  <c r="E209" i="34"/>
  <c r="D209" i="34"/>
  <c r="L196" i="34"/>
  <c r="K196" i="34"/>
  <c r="J196" i="34"/>
  <c r="I196" i="34"/>
  <c r="H196" i="34"/>
  <c r="F196" i="34"/>
  <c r="E196" i="34"/>
  <c r="D196" i="34"/>
  <c r="G195" i="34"/>
  <c r="G194" i="34"/>
  <c r="G193" i="34"/>
  <c r="G192" i="34"/>
  <c r="G191" i="34"/>
  <c r="G190" i="34"/>
  <c r="G189" i="34"/>
  <c r="G196" i="34" s="1"/>
  <c r="O185" i="34"/>
  <c r="N185" i="34"/>
  <c r="M185" i="34"/>
  <c r="L185" i="34"/>
  <c r="K185" i="34"/>
  <c r="J185" i="34"/>
  <c r="I185" i="34"/>
  <c r="H185" i="34"/>
  <c r="F185" i="34"/>
  <c r="E185" i="34"/>
  <c r="D185" i="34"/>
  <c r="G184" i="34"/>
  <c r="G183" i="34"/>
  <c r="G182" i="34"/>
  <c r="G181" i="34"/>
  <c r="G180" i="34"/>
  <c r="G179" i="34"/>
  <c r="G178" i="34"/>
  <c r="G185" i="34" s="1"/>
  <c r="I172" i="34"/>
  <c r="H172" i="34"/>
  <c r="G172" i="34"/>
  <c r="F172" i="34"/>
  <c r="E172" i="34"/>
  <c r="D172" i="34"/>
  <c r="K171" i="34"/>
  <c r="J171" i="34"/>
  <c r="K170" i="34"/>
  <c r="J170" i="34"/>
  <c r="K169" i="34"/>
  <c r="J169" i="34"/>
  <c r="K168" i="34"/>
  <c r="J168" i="34"/>
  <c r="K167" i="34"/>
  <c r="J167" i="34"/>
  <c r="K166" i="34"/>
  <c r="J166" i="34"/>
  <c r="K165" i="34"/>
  <c r="K172" i="34" s="1"/>
  <c r="J165" i="34"/>
  <c r="J172" i="34" s="1"/>
  <c r="J162" i="34"/>
  <c r="I162" i="34"/>
  <c r="H162" i="34"/>
  <c r="F162" i="34"/>
  <c r="E162" i="34"/>
  <c r="D162" i="34"/>
  <c r="G161" i="34"/>
  <c r="G160" i="34"/>
  <c r="G159" i="34"/>
  <c r="G158" i="34"/>
  <c r="G157" i="34"/>
  <c r="G156" i="34"/>
  <c r="G155" i="34"/>
  <c r="G162" i="34" s="1"/>
  <c r="N151" i="34"/>
  <c r="M151" i="34"/>
  <c r="L151" i="34"/>
  <c r="K151" i="34"/>
  <c r="J151" i="34"/>
  <c r="H151" i="34"/>
  <c r="G151" i="34"/>
  <c r="F151" i="34"/>
  <c r="E151" i="34"/>
  <c r="D151" i="34"/>
  <c r="I150" i="34"/>
  <c r="I149" i="34"/>
  <c r="I148" i="34"/>
  <c r="I147" i="34"/>
  <c r="I146" i="34"/>
  <c r="I145" i="34"/>
  <c r="I144" i="34"/>
  <c r="I151" i="34" s="1"/>
  <c r="F137" i="34"/>
  <c r="E137" i="34"/>
  <c r="D137" i="34"/>
  <c r="G136" i="34"/>
  <c r="G135" i="34"/>
  <c r="G134" i="34"/>
  <c r="G133" i="34"/>
  <c r="G132" i="34"/>
  <c r="G131" i="34"/>
  <c r="G137" i="34" s="1"/>
  <c r="L127" i="34"/>
  <c r="K127" i="34"/>
  <c r="I127" i="34"/>
  <c r="H127" i="34"/>
  <c r="G127" i="34"/>
  <c r="F127" i="34"/>
  <c r="E127" i="34"/>
  <c r="D127" i="34"/>
  <c r="L116" i="34"/>
  <c r="K116" i="34"/>
  <c r="I116" i="34"/>
  <c r="H116" i="34"/>
  <c r="G116" i="34"/>
  <c r="F116" i="34"/>
  <c r="E116" i="34"/>
  <c r="D116" i="34"/>
  <c r="M105" i="34"/>
  <c r="L105" i="34"/>
  <c r="K105" i="34"/>
  <c r="J105" i="34"/>
  <c r="I105" i="34"/>
  <c r="H105" i="34"/>
  <c r="G105" i="34"/>
  <c r="F105" i="34"/>
  <c r="E105" i="34"/>
  <c r="D105" i="34"/>
  <c r="K92" i="34"/>
  <c r="J92" i="34"/>
  <c r="I92" i="34"/>
  <c r="H92" i="34"/>
  <c r="G92" i="34"/>
  <c r="F92" i="34"/>
  <c r="E92" i="34"/>
  <c r="D92" i="34"/>
  <c r="O79" i="34"/>
  <c r="N79" i="34"/>
  <c r="M79" i="34"/>
  <c r="L79" i="34"/>
  <c r="K79" i="34"/>
  <c r="J79" i="34"/>
  <c r="I79" i="34"/>
  <c r="F79" i="34"/>
  <c r="E79" i="34"/>
  <c r="D79" i="34"/>
  <c r="G78" i="34"/>
  <c r="G77" i="34"/>
  <c r="G76" i="34"/>
  <c r="G75" i="34"/>
  <c r="G74" i="34"/>
  <c r="G73" i="34"/>
  <c r="G72" i="34"/>
  <c r="G79" i="34" s="1"/>
  <c r="L69" i="34"/>
  <c r="K69" i="34"/>
  <c r="I69" i="34"/>
  <c r="H69" i="34"/>
  <c r="G69" i="34"/>
  <c r="F69" i="34"/>
  <c r="E69" i="34"/>
  <c r="D69" i="34"/>
  <c r="K58" i="34"/>
  <c r="J58" i="34"/>
  <c r="I58" i="34"/>
  <c r="H58" i="34"/>
  <c r="G58" i="34"/>
  <c r="F58" i="34"/>
  <c r="E58" i="34"/>
  <c r="D58" i="34"/>
  <c r="E47" i="34"/>
  <c r="D47" i="34"/>
  <c r="F35" i="34"/>
  <c r="E35" i="34"/>
  <c r="D35" i="34"/>
  <c r="G35" i="34" s="1"/>
  <c r="G34" i="34"/>
  <c r="G33" i="34"/>
  <c r="G32" i="34"/>
  <c r="G31" i="34"/>
  <c r="G30" i="34"/>
  <c r="G29" i="34"/>
  <c r="G28" i="34"/>
  <c r="O24" i="34"/>
  <c r="N24" i="34"/>
  <c r="M24" i="34"/>
  <c r="L24" i="34"/>
  <c r="K24" i="34"/>
  <c r="J24" i="34"/>
  <c r="I24" i="34"/>
  <c r="H24" i="34"/>
  <c r="F24" i="34"/>
  <c r="E24" i="34"/>
  <c r="D24" i="34"/>
  <c r="G24" i="34" s="1"/>
  <c r="G23" i="34"/>
  <c r="G22" i="34"/>
  <c r="G21" i="34"/>
  <c r="G20" i="34"/>
  <c r="G19" i="34"/>
  <c r="G18" i="34"/>
  <c r="G17" i="34"/>
  <c r="I219" i="32" l="1"/>
  <c r="H219" i="32"/>
  <c r="G219" i="32"/>
  <c r="F219" i="32"/>
  <c r="E219" i="32"/>
  <c r="D219" i="32"/>
  <c r="L209" i="32"/>
  <c r="K209" i="32"/>
  <c r="J209" i="32"/>
  <c r="I209" i="32"/>
  <c r="H209" i="32"/>
  <c r="G209" i="32"/>
  <c r="F209" i="32"/>
  <c r="E209" i="32"/>
  <c r="D209" i="32"/>
  <c r="L196" i="32"/>
  <c r="K196" i="32"/>
  <c r="J196" i="32"/>
  <c r="I196" i="32"/>
  <c r="H196" i="32"/>
  <c r="F196" i="32"/>
  <c r="E196" i="32"/>
  <c r="D196" i="32"/>
  <c r="G195" i="32"/>
  <c r="G194" i="32"/>
  <c r="G193" i="32"/>
  <c r="G192" i="32"/>
  <c r="G191" i="32"/>
  <c r="G190" i="32"/>
  <c r="G189" i="32"/>
  <c r="G196" i="32" s="1"/>
  <c r="O185" i="32"/>
  <c r="N185" i="32"/>
  <c r="M185" i="32"/>
  <c r="L185" i="32"/>
  <c r="K185" i="32"/>
  <c r="J185" i="32"/>
  <c r="I185" i="32"/>
  <c r="H185" i="32"/>
  <c r="F185" i="32"/>
  <c r="E185" i="32"/>
  <c r="D185" i="32"/>
  <c r="G184" i="32"/>
  <c r="G183" i="32"/>
  <c r="G182" i="32"/>
  <c r="G181" i="32"/>
  <c r="G180" i="32"/>
  <c r="G185" i="32" s="1"/>
  <c r="G179" i="32"/>
  <c r="G178" i="32"/>
  <c r="I172" i="32"/>
  <c r="H172" i="32"/>
  <c r="G172" i="32"/>
  <c r="F172" i="32"/>
  <c r="E172" i="32"/>
  <c r="D172" i="32"/>
  <c r="K171" i="32"/>
  <c r="J171" i="32"/>
  <c r="K170" i="32"/>
  <c r="J170" i="32"/>
  <c r="K169" i="32"/>
  <c r="J169" i="32"/>
  <c r="K168" i="32"/>
  <c r="J168" i="32"/>
  <c r="K167" i="32"/>
  <c r="J167" i="32"/>
  <c r="K166" i="32"/>
  <c r="J166" i="32"/>
  <c r="K165" i="32"/>
  <c r="K172" i="32" s="1"/>
  <c r="J165" i="32"/>
  <c r="J172" i="32" s="1"/>
  <c r="J162" i="32"/>
  <c r="I162" i="32"/>
  <c r="H162" i="32"/>
  <c r="F162" i="32"/>
  <c r="E162" i="32"/>
  <c r="D162" i="32"/>
  <c r="G161" i="32"/>
  <c r="G160" i="32"/>
  <c r="G159" i="32"/>
  <c r="G158" i="32"/>
  <c r="G157" i="32"/>
  <c r="G162" i="32" s="1"/>
  <c r="G156" i="32"/>
  <c r="G155" i="32"/>
  <c r="N151" i="32"/>
  <c r="M151" i="32"/>
  <c r="L151" i="32"/>
  <c r="K151" i="32"/>
  <c r="J151" i="32"/>
  <c r="H151" i="32"/>
  <c r="G151" i="32"/>
  <c r="F151" i="32"/>
  <c r="E151" i="32"/>
  <c r="D151" i="32"/>
  <c r="I150" i="32"/>
  <c r="I149" i="32"/>
  <c r="I148" i="32"/>
  <c r="I147" i="32"/>
  <c r="I146" i="32"/>
  <c r="I145" i="32"/>
  <c r="I144" i="32"/>
  <c r="I151" i="32" s="1"/>
  <c r="F137" i="32"/>
  <c r="E137" i="32"/>
  <c r="D137" i="32"/>
  <c r="G136" i="32"/>
  <c r="G135" i="32"/>
  <c r="G134" i="32"/>
  <c r="G133" i="32"/>
  <c r="G132" i="32"/>
  <c r="G131" i="32"/>
  <c r="G137" i="32" s="1"/>
  <c r="L127" i="32"/>
  <c r="K127" i="32"/>
  <c r="I127" i="32"/>
  <c r="H127" i="32"/>
  <c r="G127" i="32"/>
  <c r="F127" i="32"/>
  <c r="E127" i="32"/>
  <c r="D127" i="32"/>
  <c r="L116" i="32"/>
  <c r="K116" i="32"/>
  <c r="I116" i="32"/>
  <c r="H116" i="32"/>
  <c r="G116" i="32"/>
  <c r="F116" i="32"/>
  <c r="E116" i="32"/>
  <c r="D116" i="32"/>
  <c r="M105" i="32"/>
  <c r="L105" i="32"/>
  <c r="K105" i="32"/>
  <c r="J105" i="32"/>
  <c r="I105" i="32"/>
  <c r="H105" i="32"/>
  <c r="G105" i="32"/>
  <c r="F105" i="32"/>
  <c r="E105" i="32"/>
  <c r="D105" i="32"/>
  <c r="K92" i="32"/>
  <c r="J92" i="32"/>
  <c r="I92" i="32"/>
  <c r="H92" i="32"/>
  <c r="G92" i="32"/>
  <c r="F92" i="32"/>
  <c r="E92" i="32"/>
  <c r="D92" i="32"/>
  <c r="O79" i="32"/>
  <c r="N79" i="32"/>
  <c r="M79" i="32"/>
  <c r="L79" i="32"/>
  <c r="K79" i="32"/>
  <c r="J79" i="32"/>
  <c r="I79" i="32"/>
  <c r="F79" i="32"/>
  <c r="E79" i="32"/>
  <c r="D79" i="32"/>
  <c r="G78" i="32"/>
  <c r="G77" i="32"/>
  <c r="G76" i="32"/>
  <c r="G75" i="32"/>
  <c r="G74" i="32"/>
  <c r="G79" i="32" s="1"/>
  <c r="G73" i="32"/>
  <c r="G72" i="32"/>
  <c r="L69" i="32"/>
  <c r="K69" i="32"/>
  <c r="I69" i="32"/>
  <c r="H69" i="32"/>
  <c r="G69" i="32"/>
  <c r="F69" i="32"/>
  <c r="E69" i="32"/>
  <c r="D69" i="32"/>
  <c r="K58" i="32"/>
  <c r="J58" i="32"/>
  <c r="I58" i="32"/>
  <c r="H58" i="32"/>
  <c r="G58" i="32"/>
  <c r="F58" i="32"/>
  <c r="E58" i="32"/>
  <c r="D58" i="32"/>
  <c r="E47" i="32"/>
  <c r="D47" i="32"/>
  <c r="F35" i="32"/>
  <c r="E35" i="32"/>
  <c r="D35" i="32"/>
  <c r="G35" i="32" s="1"/>
  <c r="G34" i="32"/>
  <c r="G33" i="32"/>
  <c r="G32" i="32"/>
  <c r="G31" i="32"/>
  <c r="G30" i="32"/>
  <c r="G29" i="32"/>
  <c r="G28" i="32"/>
  <c r="O24" i="32"/>
  <c r="N24" i="32"/>
  <c r="M24" i="32"/>
  <c r="L24" i="32"/>
  <c r="K24" i="32"/>
  <c r="J24" i="32"/>
  <c r="I24" i="32"/>
  <c r="H24" i="32"/>
  <c r="G24" i="32"/>
  <c r="F24" i="32"/>
  <c r="E24" i="32"/>
  <c r="D24" i="32"/>
  <c r="G23" i="32"/>
  <c r="G22" i="32"/>
  <c r="G21" i="32"/>
  <c r="G20" i="32"/>
  <c r="G19" i="32"/>
  <c r="G18" i="32"/>
  <c r="G17" i="32"/>
  <c r="E220" i="31" l="1"/>
  <c r="I219" i="31"/>
  <c r="H219" i="31"/>
  <c r="G219" i="31"/>
  <c r="F219" i="31"/>
  <c r="D219" i="31"/>
  <c r="D213" i="31"/>
  <c r="J213" i="31" s="1"/>
  <c r="L213" i="31" s="1"/>
  <c r="L196" i="31"/>
  <c r="K196" i="31"/>
  <c r="J196" i="31"/>
  <c r="I196" i="31"/>
  <c r="H196" i="31"/>
  <c r="F196" i="31"/>
  <c r="E196" i="31"/>
  <c r="D196" i="31"/>
  <c r="G192" i="31"/>
  <c r="G196" i="31" s="1"/>
  <c r="O185" i="31"/>
  <c r="N185" i="31"/>
  <c r="M185" i="31"/>
  <c r="L185" i="31"/>
  <c r="K185" i="31"/>
  <c r="J185" i="31"/>
  <c r="I185" i="31"/>
  <c r="H185" i="31"/>
  <c r="F185" i="31"/>
  <c r="E185" i="31"/>
  <c r="D185" i="31"/>
  <c r="G181" i="31"/>
  <c r="G180" i="31"/>
  <c r="G185" i="31" s="1"/>
  <c r="L69" i="31"/>
  <c r="K69" i="31"/>
  <c r="J69" i="31"/>
  <c r="I69" i="31"/>
  <c r="H69" i="31"/>
  <c r="G69" i="31"/>
  <c r="F69" i="31"/>
  <c r="E69" i="31"/>
  <c r="D69" i="31"/>
  <c r="E47" i="31"/>
  <c r="D47" i="31"/>
  <c r="G35" i="31"/>
  <c r="F35" i="31"/>
  <c r="E35" i="31"/>
  <c r="D35" i="31"/>
  <c r="O24" i="31"/>
  <c r="N24" i="31"/>
  <c r="M24" i="31"/>
  <c r="L24" i="31"/>
  <c r="K24" i="31"/>
  <c r="J24" i="31"/>
  <c r="I24" i="31"/>
  <c r="H24" i="31"/>
  <c r="F24" i="31"/>
  <c r="E24" i="31"/>
  <c r="D24" i="31"/>
  <c r="G20" i="31"/>
  <c r="G24" i="31" s="1"/>
  <c r="I219" i="30" l="1"/>
  <c r="H219" i="30"/>
  <c r="G219" i="30"/>
  <c r="F219" i="30"/>
  <c r="E219" i="30"/>
  <c r="D219" i="30"/>
  <c r="J219" i="30" s="1"/>
  <c r="J213" i="30"/>
  <c r="E213" i="30"/>
  <c r="L209" i="30"/>
  <c r="K209" i="30"/>
  <c r="J209" i="30"/>
  <c r="I209" i="30"/>
  <c r="H209" i="30"/>
  <c r="G209" i="30"/>
  <c r="F209" i="30"/>
  <c r="E209" i="30"/>
  <c r="D209" i="30"/>
  <c r="N196" i="30"/>
  <c r="N197" i="30" s="1"/>
  <c r="L196" i="30"/>
  <c r="K196" i="30"/>
  <c r="J196" i="30"/>
  <c r="I196" i="30"/>
  <c r="H196" i="30"/>
  <c r="F196" i="30"/>
  <c r="E196" i="30"/>
  <c r="D196" i="30"/>
  <c r="G195" i="30"/>
  <c r="G194" i="30"/>
  <c r="G193" i="30"/>
  <c r="G192" i="30"/>
  <c r="G191" i="30"/>
  <c r="G190" i="30"/>
  <c r="G189" i="30"/>
  <c r="G196" i="30" s="1"/>
  <c r="O185" i="30"/>
  <c r="N185" i="30"/>
  <c r="M185" i="30"/>
  <c r="L185" i="30"/>
  <c r="K185" i="30"/>
  <c r="J185" i="30"/>
  <c r="I185" i="30"/>
  <c r="H185" i="30"/>
  <c r="F185" i="30"/>
  <c r="E185" i="30"/>
  <c r="D185" i="30"/>
  <c r="G184" i="30"/>
  <c r="G183" i="30"/>
  <c r="G182" i="30"/>
  <c r="G181" i="30"/>
  <c r="G180" i="30"/>
  <c r="G179" i="30"/>
  <c r="G178" i="30"/>
  <c r="G185" i="30" s="1"/>
  <c r="I172" i="30"/>
  <c r="H172" i="30"/>
  <c r="G172" i="30"/>
  <c r="F172" i="30"/>
  <c r="E172" i="30"/>
  <c r="D172" i="30"/>
  <c r="K171" i="30"/>
  <c r="J171" i="30"/>
  <c r="K170" i="30"/>
  <c r="J170" i="30"/>
  <c r="K169" i="30"/>
  <c r="J169" i="30"/>
  <c r="K168" i="30"/>
  <c r="J168" i="30"/>
  <c r="K167" i="30"/>
  <c r="J167" i="30"/>
  <c r="K166" i="30"/>
  <c r="J166" i="30"/>
  <c r="K165" i="30"/>
  <c r="K172" i="30" s="1"/>
  <c r="J165" i="30"/>
  <c r="J172" i="30" s="1"/>
  <c r="J162" i="30"/>
  <c r="I162" i="30"/>
  <c r="H162" i="30"/>
  <c r="F162" i="30"/>
  <c r="E162" i="30"/>
  <c r="D162" i="30"/>
  <c r="G161" i="30"/>
  <c r="G160" i="30"/>
  <c r="G159" i="30"/>
  <c r="G158" i="30"/>
  <c r="G157" i="30"/>
  <c r="G156" i="30"/>
  <c r="G155" i="30"/>
  <c r="G162" i="30" s="1"/>
  <c r="N151" i="30"/>
  <c r="M151" i="30"/>
  <c r="L151" i="30"/>
  <c r="K151" i="30"/>
  <c r="J151" i="30"/>
  <c r="H151" i="30"/>
  <c r="G151" i="30"/>
  <c r="F151" i="30"/>
  <c r="E151" i="30"/>
  <c r="D151" i="30"/>
  <c r="I150" i="30"/>
  <c r="I149" i="30"/>
  <c r="I148" i="30"/>
  <c r="I147" i="30"/>
  <c r="I146" i="30"/>
  <c r="I145" i="30"/>
  <c r="I144" i="30"/>
  <c r="I151" i="30" s="1"/>
  <c r="F137" i="30"/>
  <c r="E137" i="30"/>
  <c r="D137" i="30"/>
  <c r="G136" i="30"/>
  <c r="G135" i="30"/>
  <c r="G134" i="30"/>
  <c r="G133" i="30"/>
  <c r="G132" i="30"/>
  <c r="G131" i="30"/>
  <c r="G137" i="30" s="1"/>
  <c r="L127" i="30"/>
  <c r="K127" i="30"/>
  <c r="I127" i="30"/>
  <c r="H127" i="30"/>
  <c r="G127" i="30"/>
  <c r="F127" i="30"/>
  <c r="E127" i="30"/>
  <c r="D127" i="30"/>
  <c r="L116" i="30"/>
  <c r="K116" i="30"/>
  <c r="I116" i="30"/>
  <c r="H116" i="30"/>
  <c r="G116" i="30"/>
  <c r="F116" i="30"/>
  <c r="E116" i="30"/>
  <c r="D116" i="30"/>
  <c r="M105" i="30"/>
  <c r="L105" i="30"/>
  <c r="K105" i="30"/>
  <c r="J105" i="30"/>
  <c r="I105" i="30"/>
  <c r="H105" i="30"/>
  <c r="G105" i="30"/>
  <c r="F105" i="30"/>
  <c r="E105" i="30"/>
  <c r="D105" i="30"/>
  <c r="K92" i="30"/>
  <c r="J92" i="30"/>
  <c r="I92" i="30"/>
  <c r="H92" i="30"/>
  <c r="G92" i="30"/>
  <c r="F92" i="30"/>
  <c r="E92" i="30"/>
  <c r="D92" i="30"/>
  <c r="O79" i="30"/>
  <c r="N79" i="30"/>
  <c r="M79" i="30"/>
  <c r="L79" i="30"/>
  <c r="K79" i="30"/>
  <c r="J79" i="30"/>
  <c r="I79" i="30"/>
  <c r="F79" i="30"/>
  <c r="E79" i="30"/>
  <c r="D79" i="30"/>
  <c r="G78" i="30"/>
  <c r="G77" i="30"/>
  <c r="G76" i="30"/>
  <c r="G75" i="30"/>
  <c r="G74" i="30"/>
  <c r="G73" i="30"/>
  <c r="G72" i="30"/>
  <c r="G79" i="30" s="1"/>
  <c r="L69" i="30"/>
  <c r="K69" i="30"/>
  <c r="I69" i="30"/>
  <c r="H69" i="30"/>
  <c r="G69" i="30"/>
  <c r="F69" i="30"/>
  <c r="E69" i="30"/>
  <c r="D69" i="30"/>
  <c r="K58" i="30"/>
  <c r="J58" i="30"/>
  <c r="I58" i="30"/>
  <c r="H58" i="30"/>
  <c r="G58" i="30"/>
  <c r="F58" i="30"/>
  <c r="E58" i="30"/>
  <c r="D58" i="30"/>
  <c r="E47" i="30"/>
  <c r="D47" i="30"/>
  <c r="F35" i="30"/>
  <c r="E35" i="30"/>
  <c r="D35" i="30"/>
  <c r="G35" i="30" s="1"/>
  <c r="G34" i="30"/>
  <c r="G33" i="30"/>
  <c r="G32" i="30"/>
  <c r="G31" i="30"/>
  <c r="G30" i="30"/>
  <c r="G29" i="30"/>
  <c r="G28" i="30"/>
  <c r="O24" i="30"/>
  <c r="N24" i="30"/>
  <c r="M24" i="30"/>
  <c r="L24" i="30"/>
  <c r="K24" i="30"/>
  <c r="J24" i="30"/>
  <c r="I24" i="30"/>
  <c r="H24" i="30"/>
  <c r="F24" i="30"/>
  <c r="E24" i="30"/>
  <c r="D24" i="30"/>
  <c r="G24" i="30" s="1"/>
  <c r="G23" i="30"/>
  <c r="G22" i="30"/>
  <c r="G21" i="30"/>
  <c r="G20" i="30"/>
  <c r="G19" i="30"/>
  <c r="G18" i="30"/>
  <c r="G17" i="30"/>
  <c r="I219" i="29" l="1"/>
  <c r="H219" i="29"/>
  <c r="G219" i="29"/>
  <c r="F217" i="29"/>
  <c r="F218" i="29" s="1"/>
  <c r="F219" i="29" s="1"/>
  <c r="E217" i="29"/>
  <c r="E214" i="29" s="1"/>
  <c r="F214" i="29"/>
  <c r="D214" i="29"/>
  <c r="D218" i="29" s="1"/>
  <c r="F213" i="29"/>
  <c r="L209" i="29"/>
  <c r="K209" i="29"/>
  <c r="J209" i="29"/>
  <c r="I209" i="29"/>
  <c r="H209" i="29"/>
  <c r="G209" i="29"/>
  <c r="F209" i="29"/>
  <c r="E209" i="29"/>
  <c r="D209" i="29"/>
  <c r="K196" i="29"/>
  <c r="J196" i="29"/>
  <c r="I196" i="29"/>
  <c r="H196" i="29"/>
  <c r="F196" i="29"/>
  <c r="G195" i="29"/>
  <c r="G194" i="29"/>
  <c r="G193" i="29"/>
  <c r="J192" i="29"/>
  <c r="E192" i="29"/>
  <c r="E196" i="29" s="1"/>
  <c r="D192" i="29"/>
  <c r="G192" i="29" s="1"/>
  <c r="L192" i="29" s="1"/>
  <c r="L196" i="29" s="1"/>
  <c r="G191" i="29"/>
  <c r="G190" i="29"/>
  <c r="G189" i="29"/>
  <c r="O185" i="29"/>
  <c r="N185" i="29"/>
  <c r="M185" i="29"/>
  <c r="L185" i="29"/>
  <c r="K185" i="29"/>
  <c r="J185" i="29"/>
  <c r="I185" i="29"/>
  <c r="E185" i="29"/>
  <c r="G184" i="29"/>
  <c r="G183" i="29"/>
  <c r="G182" i="29"/>
  <c r="H181" i="29"/>
  <c r="H185" i="29" s="1"/>
  <c r="G181" i="29"/>
  <c r="F181" i="29"/>
  <c r="F180" i="29"/>
  <c r="F185" i="29" s="1"/>
  <c r="D180" i="29"/>
  <c r="G180" i="29" s="1"/>
  <c r="G185" i="29" s="1"/>
  <c r="G179" i="29"/>
  <c r="G178" i="29"/>
  <c r="I172" i="29"/>
  <c r="H172" i="29"/>
  <c r="G172" i="29"/>
  <c r="F172" i="29"/>
  <c r="E172" i="29"/>
  <c r="D172" i="29"/>
  <c r="K171" i="29"/>
  <c r="J171" i="29"/>
  <c r="K170" i="29"/>
  <c r="J170" i="29"/>
  <c r="K169" i="29"/>
  <c r="J169" i="29"/>
  <c r="K168" i="29"/>
  <c r="J168" i="29"/>
  <c r="K167" i="29"/>
  <c r="J167" i="29"/>
  <c r="K166" i="29"/>
  <c r="J166" i="29"/>
  <c r="K165" i="29"/>
  <c r="K172" i="29" s="1"/>
  <c r="J165" i="29"/>
  <c r="J172" i="29" s="1"/>
  <c r="J162" i="29"/>
  <c r="I162" i="29"/>
  <c r="H162" i="29"/>
  <c r="F162" i="29"/>
  <c r="E162" i="29"/>
  <c r="D162" i="29"/>
  <c r="G161" i="29"/>
  <c r="G160" i="29"/>
  <c r="G159" i="29"/>
  <c r="G158" i="29"/>
  <c r="G157" i="29"/>
  <c r="G162" i="29" s="1"/>
  <c r="G156" i="29"/>
  <c r="G155" i="29"/>
  <c r="N151" i="29"/>
  <c r="M151" i="29"/>
  <c r="L151" i="29"/>
  <c r="K151" i="29"/>
  <c r="J151" i="29"/>
  <c r="H151" i="29"/>
  <c r="G151" i="29"/>
  <c r="F151" i="29"/>
  <c r="E151" i="29"/>
  <c r="D151" i="29"/>
  <c r="I150" i="29"/>
  <c r="I149" i="29"/>
  <c r="I148" i="29"/>
  <c r="I147" i="29"/>
  <c r="I146" i="29"/>
  <c r="I145" i="29"/>
  <c r="I144" i="29"/>
  <c r="I151" i="29" s="1"/>
  <c r="F137" i="29"/>
  <c r="E137" i="29"/>
  <c r="D137" i="29"/>
  <c r="G136" i="29"/>
  <c r="G135" i="29"/>
  <c r="G134" i="29"/>
  <c r="G133" i="29"/>
  <c r="E133" i="29"/>
  <c r="G132" i="29"/>
  <c r="G131" i="29"/>
  <c r="G137" i="29" s="1"/>
  <c r="L127" i="29"/>
  <c r="K127" i="29"/>
  <c r="I127" i="29"/>
  <c r="H127" i="29"/>
  <c r="G127" i="29"/>
  <c r="F127" i="29"/>
  <c r="E127" i="29"/>
  <c r="D123" i="29"/>
  <c r="D127" i="29" s="1"/>
  <c r="K116" i="29"/>
  <c r="I116" i="29"/>
  <c r="H116" i="29"/>
  <c r="G116" i="29"/>
  <c r="F116" i="29"/>
  <c r="E116" i="29"/>
  <c r="D113" i="29"/>
  <c r="L113" i="29" s="1"/>
  <c r="D112" i="29"/>
  <c r="L112" i="29" s="1"/>
  <c r="L111" i="29"/>
  <c r="M105" i="29"/>
  <c r="L105" i="29"/>
  <c r="K105" i="29"/>
  <c r="J105" i="29"/>
  <c r="I105" i="29"/>
  <c r="H105" i="29"/>
  <c r="G105" i="29"/>
  <c r="F105" i="29"/>
  <c r="E105" i="29"/>
  <c r="D105" i="29"/>
  <c r="K92" i="29"/>
  <c r="J92" i="29"/>
  <c r="I92" i="29"/>
  <c r="H92" i="29"/>
  <c r="G92" i="29"/>
  <c r="F92" i="29"/>
  <c r="E92" i="29"/>
  <c r="D92" i="29"/>
  <c r="O79" i="29"/>
  <c r="N79" i="29"/>
  <c r="M79" i="29"/>
  <c r="L79" i="29"/>
  <c r="K79" i="29"/>
  <c r="J79" i="29"/>
  <c r="I79" i="29"/>
  <c r="F79" i="29"/>
  <c r="E79" i="29"/>
  <c r="D79" i="29"/>
  <c r="G78" i="29"/>
  <c r="G77" i="29"/>
  <c r="G76" i="29"/>
  <c r="G75" i="29"/>
  <c r="G74" i="29"/>
  <c r="G73" i="29"/>
  <c r="G79" i="29" s="1"/>
  <c r="G72" i="29"/>
  <c r="L69" i="29"/>
  <c r="K69" i="29"/>
  <c r="I69" i="29"/>
  <c r="H69" i="29"/>
  <c r="G69" i="29"/>
  <c r="F69" i="29"/>
  <c r="E69" i="29"/>
  <c r="E65" i="29"/>
  <c r="D65" i="29"/>
  <c r="D69" i="29" s="1"/>
  <c r="K58" i="29"/>
  <c r="J58" i="29"/>
  <c r="I58" i="29"/>
  <c r="H58" i="29"/>
  <c r="G58" i="29"/>
  <c r="F58" i="29"/>
  <c r="E58" i="29"/>
  <c r="D58" i="29"/>
  <c r="E47" i="29"/>
  <c r="D47" i="29"/>
  <c r="F35" i="29"/>
  <c r="E35" i="29"/>
  <c r="G34" i="29"/>
  <c r="G33" i="29"/>
  <c r="G32" i="29"/>
  <c r="D31" i="29"/>
  <c r="G31" i="29" s="1"/>
  <c r="D30" i="29"/>
  <c r="D35" i="29" s="1"/>
  <c r="G35" i="29" s="1"/>
  <c r="G29" i="29"/>
  <c r="G28" i="29"/>
  <c r="O24" i="29"/>
  <c r="N24" i="29"/>
  <c r="M24" i="29"/>
  <c r="L24" i="29"/>
  <c r="K24" i="29"/>
  <c r="J24" i="29"/>
  <c r="I24" i="29"/>
  <c r="F24" i="29"/>
  <c r="E24" i="29"/>
  <c r="G23" i="29"/>
  <c r="G22" i="29"/>
  <c r="G21" i="29"/>
  <c r="D20" i="29"/>
  <c r="H20" i="29" s="1"/>
  <c r="H24" i="29" s="1"/>
  <c r="D19" i="29"/>
  <c r="G19" i="29" s="1"/>
  <c r="G18" i="29"/>
  <c r="G17" i="29"/>
  <c r="G196" i="29" l="1"/>
  <c r="L116" i="29"/>
  <c r="E219" i="29"/>
  <c r="E213" i="29"/>
  <c r="K217" i="29"/>
  <c r="E218" i="29"/>
  <c r="D116" i="29"/>
  <c r="D196" i="29"/>
  <c r="G20" i="29"/>
  <c r="G30" i="29"/>
  <c r="D185" i="29"/>
  <c r="D24" i="29"/>
  <c r="G24" i="29" s="1"/>
  <c r="D213" i="29"/>
  <c r="D219" i="29"/>
  <c r="I219" i="28" l="1"/>
  <c r="H219" i="28"/>
  <c r="G219" i="28"/>
  <c r="F219" i="28"/>
  <c r="E219" i="28"/>
  <c r="D219" i="28"/>
  <c r="D213" i="28"/>
  <c r="J213" i="28" s="1"/>
  <c r="L209" i="28"/>
  <c r="K209" i="28"/>
  <c r="J209" i="28"/>
  <c r="I209" i="28"/>
  <c r="H209" i="28"/>
  <c r="G209" i="28"/>
  <c r="F209" i="28"/>
  <c r="E209" i="28"/>
  <c r="D209" i="28"/>
  <c r="L196" i="28"/>
  <c r="K196" i="28"/>
  <c r="J196" i="28"/>
  <c r="I196" i="28"/>
  <c r="H196" i="28"/>
  <c r="F196" i="28"/>
  <c r="E196" i="28"/>
  <c r="D196" i="28"/>
  <c r="G195" i="28"/>
  <c r="G194" i="28"/>
  <c r="G193" i="28"/>
  <c r="G192" i="28"/>
  <c r="G191" i="28"/>
  <c r="G190" i="28"/>
  <c r="G189" i="28"/>
  <c r="G196" i="28" s="1"/>
  <c r="O185" i="28"/>
  <c r="N185" i="28"/>
  <c r="M185" i="28"/>
  <c r="L185" i="28"/>
  <c r="K185" i="28"/>
  <c r="J185" i="28"/>
  <c r="I185" i="28"/>
  <c r="H185" i="28"/>
  <c r="F185" i="28"/>
  <c r="E185" i="28"/>
  <c r="D185" i="28"/>
  <c r="G184" i="28"/>
  <c r="G183" i="28"/>
  <c r="G182" i="28"/>
  <c r="G181" i="28"/>
  <c r="G180" i="28"/>
  <c r="G185" i="28" s="1"/>
  <c r="G179" i="28"/>
  <c r="G178" i="28"/>
  <c r="I172" i="28"/>
  <c r="H172" i="28"/>
  <c r="G172" i="28"/>
  <c r="F172" i="28"/>
  <c r="E172" i="28"/>
  <c r="D172" i="28"/>
  <c r="K171" i="28"/>
  <c r="J171" i="28"/>
  <c r="K170" i="28"/>
  <c r="J170" i="28"/>
  <c r="K169" i="28"/>
  <c r="J169" i="28"/>
  <c r="K168" i="28"/>
  <c r="J168" i="28"/>
  <c r="K167" i="28"/>
  <c r="J167" i="28"/>
  <c r="K166" i="28"/>
  <c r="J166" i="28"/>
  <c r="K165" i="28"/>
  <c r="K172" i="28" s="1"/>
  <c r="J165" i="28"/>
  <c r="J172" i="28" s="1"/>
  <c r="J162" i="28"/>
  <c r="I162" i="28"/>
  <c r="H162" i="28"/>
  <c r="F162" i="28"/>
  <c r="E162" i="28"/>
  <c r="D162" i="28"/>
  <c r="G161" i="28"/>
  <c r="G160" i="28"/>
  <c r="G159" i="28"/>
  <c r="G158" i="28"/>
  <c r="G157" i="28"/>
  <c r="G162" i="28" s="1"/>
  <c r="G156" i="28"/>
  <c r="G155" i="28"/>
  <c r="N151" i="28"/>
  <c r="M151" i="28"/>
  <c r="L151" i="28"/>
  <c r="K151" i="28"/>
  <c r="J151" i="28"/>
  <c r="H151" i="28"/>
  <c r="G151" i="28"/>
  <c r="F151" i="28"/>
  <c r="E151" i="28"/>
  <c r="D151" i="28"/>
  <c r="I150" i="28"/>
  <c r="I149" i="28"/>
  <c r="I148" i="28"/>
  <c r="I147" i="28"/>
  <c r="I146" i="28"/>
  <c r="I145" i="28"/>
  <c r="I144" i="28"/>
  <c r="I151" i="28" s="1"/>
  <c r="F137" i="28"/>
  <c r="E137" i="28"/>
  <c r="D137" i="28"/>
  <c r="G136" i="28"/>
  <c r="G135" i="28"/>
  <c r="G134" i="28"/>
  <c r="G133" i="28"/>
  <c r="G132" i="28"/>
  <c r="G131" i="28"/>
  <c r="G137" i="28" s="1"/>
  <c r="L127" i="28"/>
  <c r="K127" i="28"/>
  <c r="I127" i="28"/>
  <c r="H127" i="28"/>
  <c r="G127" i="28"/>
  <c r="F127" i="28"/>
  <c r="E127" i="28"/>
  <c r="D127" i="28"/>
  <c r="L116" i="28"/>
  <c r="K116" i="28"/>
  <c r="I116" i="28"/>
  <c r="H116" i="28"/>
  <c r="G116" i="28"/>
  <c r="F116" i="28"/>
  <c r="E116" i="28"/>
  <c r="D116" i="28"/>
  <c r="M105" i="28"/>
  <c r="L105" i="28"/>
  <c r="K105" i="28"/>
  <c r="J105" i="28"/>
  <c r="I105" i="28"/>
  <c r="H105" i="28"/>
  <c r="G105" i="28"/>
  <c r="F105" i="28"/>
  <c r="E105" i="28"/>
  <c r="D105" i="28"/>
  <c r="K92" i="28"/>
  <c r="J92" i="28"/>
  <c r="I92" i="28"/>
  <c r="H92" i="28"/>
  <c r="G92" i="28"/>
  <c r="F92" i="28"/>
  <c r="E92" i="28"/>
  <c r="D92" i="28"/>
  <c r="O79" i="28"/>
  <c r="N79" i="28"/>
  <c r="M79" i="28"/>
  <c r="L79" i="28"/>
  <c r="K79" i="28"/>
  <c r="J79" i="28"/>
  <c r="I79" i="28"/>
  <c r="F79" i="28"/>
  <c r="E79" i="28"/>
  <c r="D79" i="28"/>
  <c r="G78" i="28"/>
  <c r="G77" i="28"/>
  <c r="G76" i="28"/>
  <c r="G75" i="28"/>
  <c r="G74" i="28"/>
  <c r="G79" i="28" s="1"/>
  <c r="G73" i="28"/>
  <c r="G72" i="28"/>
  <c r="L69" i="28"/>
  <c r="K69" i="28"/>
  <c r="I69" i="28"/>
  <c r="H69" i="28"/>
  <c r="G69" i="28"/>
  <c r="F69" i="28"/>
  <c r="E69" i="28"/>
  <c r="D69" i="28"/>
  <c r="K58" i="28"/>
  <c r="J58" i="28"/>
  <c r="I58" i="28"/>
  <c r="H58" i="28"/>
  <c r="G58" i="28"/>
  <c r="F58" i="28"/>
  <c r="E58" i="28"/>
  <c r="D58" i="28"/>
  <c r="E47" i="28"/>
  <c r="D47" i="28"/>
  <c r="F35" i="28"/>
  <c r="E35" i="28"/>
  <c r="D35" i="28"/>
  <c r="G35" i="28" s="1"/>
  <c r="G34" i="28"/>
  <c r="G33" i="28"/>
  <c r="G32" i="28"/>
  <c r="G31" i="28"/>
  <c r="G30" i="28"/>
  <c r="G28" i="28"/>
  <c r="O24" i="28"/>
  <c r="N24" i="28"/>
  <c r="M24" i="28"/>
  <c r="L24" i="28"/>
  <c r="K24" i="28"/>
  <c r="J24" i="28"/>
  <c r="I24" i="28"/>
  <c r="H24" i="28"/>
  <c r="F24" i="28"/>
  <c r="G24" i="28" s="1"/>
  <c r="E24" i="28"/>
  <c r="D24" i="28"/>
  <c r="G23" i="28"/>
  <c r="G22" i="28"/>
  <c r="G21" i="28"/>
  <c r="G20" i="28"/>
  <c r="G19" i="28"/>
  <c r="G18" i="28"/>
  <c r="G17" i="28"/>
  <c r="I219" i="27" l="1"/>
  <c r="H219" i="27"/>
  <c r="G219" i="27"/>
  <c r="F219" i="27"/>
  <c r="E219" i="27"/>
  <c r="D219" i="27"/>
  <c r="F213" i="27"/>
  <c r="E213" i="27"/>
  <c r="D213" i="27"/>
  <c r="L209" i="27"/>
  <c r="K209" i="27"/>
  <c r="J209" i="27"/>
  <c r="I209" i="27"/>
  <c r="H209" i="27"/>
  <c r="G209" i="27"/>
  <c r="F209" i="27"/>
  <c r="E209" i="27"/>
  <c r="D209" i="27"/>
  <c r="L196" i="27"/>
  <c r="K196" i="27"/>
  <c r="J196" i="27"/>
  <c r="I196" i="27"/>
  <c r="H196" i="27"/>
  <c r="E196" i="27"/>
  <c r="D196" i="27"/>
  <c r="G195" i="27"/>
  <c r="G194" i="27"/>
  <c r="G193" i="27"/>
  <c r="G192" i="27"/>
  <c r="F191" i="27"/>
  <c r="G191" i="27" s="1"/>
  <c r="G190" i="27"/>
  <c r="G189" i="27"/>
  <c r="O185" i="27"/>
  <c r="N185" i="27"/>
  <c r="M185" i="27"/>
  <c r="L185" i="27"/>
  <c r="K185" i="27"/>
  <c r="J185" i="27"/>
  <c r="I185" i="27"/>
  <c r="H185" i="27"/>
  <c r="F185" i="27"/>
  <c r="E185" i="27"/>
  <c r="D185" i="27"/>
  <c r="G184" i="27"/>
  <c r="G183" i="27"/>
  <c r="G182" i="27"/>
  <c r="G181" i="27"/>
  <c r="G180" i="27"/>
  <c r="G179" i="27"/>
  <c r="G178" i="27"/>
  <c r="G185" i="27" s="1"/>
  <c r="I172" i="27"/>
  <c r="H172" i="27"/>
  <c r="G172" i="27"/>
  <c r="F172" i="27"/>
  <c r="E172" i="27"/>
  <c r="D172" i="27"/>
  <c r="K171" i="27"/>
  <c r="J171" i="27"/>
  <c r="K170" i="27"/>
  <c r="J170" i="27"/>
  <c r="K169" i="27"/>
  <c r="J169" i="27"/>
  <c r="K168" i="27"/>
  <c r="J168" i="27"/>
  <c r="K167" i="27"/>
  <c r="J167" i="27"/>
  <c r="K166" i="27"/>
  <c r="J166" i="27"/>
  <c r="K165" i="27"/>
  <c r="K172" i="27" s="1"/>
  <c r="J165" i="27"/>
  <c r="J172" i="27" s="1"/>
  <c r="J162" i="27"/>
  <c r="I162" i="27"/>
  <c r="H162" i="27"/>
  <c r="F162" i="27"/>
  <c r="E162" i="27"/>
  <c r="D162" i="27"/>
  <c r="G161" i="27"/>
  <c r="G160" i="27"/>
  <c r="G159" i="27"/>
  <c r="G158" i="27"/>
  <c r="G157" i="27"/>
  <c r="G156" i="27"/>
  <c r="G155" i="27"/>
  <c r="G162" i="27" s="1"/>
  <c r="N151" i="27"/>
  <c r="M151" i="27"/>
  <c r="L151" i="27"/>
  <c r="K151" i="27"/>
  <c r="J151" i="27"/>
  <c r="H151" i="27"/>
  <c r="G151" i="27"/>
  <c r="F151" i="27"/>
  <c r="E151" i="27"/>
  <c r="D151" i="27"/>
  <c r="I150" i="27"/>
  <c r="I149" i="27"/>
  <c r="I148" i="27"/>
  <c r="I147" i="27"/>
  <c r="I146" i="27"/>
  <c r="I145" i="27"/>
  <c r="I144" i="27"/>
  <c r="I151" i="27" s="1"/>
  <c r="F137" i="27"/>
  <c r="E137" i="27"/>
  <c r="D137" i="27"/>
  <c r="G136" i="27"/>
  <c r="G135" i="27"/>
  <c r="G134" i="27"/>
  <c r="G133" i="27"/>
  <c r="G132" i="27"/>
  <c r="G131" i="27"/>
  <c r="G137" i="27" s="1"/>
  <c r="L127" i="27"/>
  <c r="K127" i="27"/>
  <c r="I127" i="27"/>
  <c r="H127" i="27"/>
  <c r="G127" i="27"/>
  <c r="F127" i="27"/>
  <c r="E127" i="27"/>
  <c r="D127" i="27"/>
  <c r="L116" i="27"/>
  <c r="K116" i="27"/>
  <c r="I116" i="27"/>
  <c r="H116" i="27"/>
  <c r="G116" i="27"/>
  <c r="F116" i="27"/>
  <c r="E116" i="27"/>
  <c r="D116" i="27"/>
  <c r="M105" i="27"/>
  <c r="L105" i="27"/>
  <c r="K105" i="27"/>
  <c r="J105" i="27"/>
  <c r="I105" i="27"/>
  <c r="H105" i="27"/>
  <c r="G105" i="27"/>
  <c r="F105" i="27"/>
  <c r="E105" i="27"/>
  <c r="D105" i="27"/>
  <c r="K92" i="27"/>
  <c r="J92" i="27"/>
  <c r="I92" i="27"/>
  <c r="H92" i="27"/>
  <c r="G92" i="27"/>
  <c r="F92" i="27"/>
  <c r="E92" i="27"/>
  <c r="D92" i="27"/>
  <c r="O79" i="27"/>
  <c r="N79" i="27"/>
  <c r="M79" i="27"/>
  <c r="L79" i="27"/>
  <c r="K79" i="27"/>
  <c r="J79" i="27"/>
  <c r="I79" i="27"/>
  <c r="H79" i="27"/>
  <c r="F79" i="27"/>
  <c r="E79" i="27"/>
  <c r="D79" i="27"/>
  <c r="G78" i="27"/>
  <c r="G77" i="27"/>
  <c r="G76" i="27"/>
  <c r="G75" i="27"/>
  <c r="G74" i="27"/>
  <c r="G73" i="27"/>
  <c r="G72" i="27"/>
  <c r="G79" i="27" s="1"/>
  <c r="L69" i="27"/>
  <c r="K69" i="27"/>
  <c r="I69" i="27"/>
  <c r="H69" i="27"/>
  <c r="G69" i="27"/>
  <c r="F69" i="27"/>
  <c r="E69" i="27"/>
  <c r="D69" i="27"/>
  <c r="K58" i="27"/>
  <c r="J58" i="27"/>
  <c r="I58" i="27"/>
  <c r="H58" i="27"/>
  <c r="G58" i="27"/>
  <c r="F58" i="27"/>
  <c r="E58" i="27"/>
  <c r="D58" i="27"/>
  <c r="E47" i="27"/>
  <c r="D47" i="27"/>
  <c r="F35" i="27"/>
  <c r="G35" i="27" s="1"/>
  <c r="E35" i="27"/>
  <c r="D35" i="27"/>
  <c r="G34" i="27"/>
  <c r="G33" i="27"/>
  <c r="G32" i="27"/>
  <c r="G31" i="27"/>
  <c r="G30" i="27"/>
  <c r="G29" i="27"/>
  <c r="G28" i="27"/>
  <c r="O24" i="27"/>
  <c r="N24" i="27"/>
  <c r="M24" i="27"/>
  <c r="L24" i="27"/>
  <c r="K24" i="27"/>
  <c r="J24" i="27"/>
  <c r="I24" i="27"/>
  <c r="H24" i="27"/>
  <c r="F24" i="27"/>
  <c r="D24" i="27"/>
  <c r="G24" i="27" s="1"/>
  <c r="G23" i="27"/>
  <c r="G22" i="27"/>
  <c r="G21" i="27"/>
  <c r="G20" i="27"/>
  <c r="G19" i="27"/>
  <c r="G18" i="27"/>
  <c r="G17" i="27"/>
  <c r="G196" i="27" l="1"/>
  <c r="I219" i="26" l="1"/>
  <c r="H219" i="26"/>
  <c r="G219" i="26"/>
  <c r="F219" i="26"/>
  <c r="E219" i="26"/>
  <c r="D219" i="26"/>
  <c r="F218" i="26"/>
  <c r="L209" i="26"/>
  <c r="K209" i="26"/>
  <c r="J209" i="26"/>
  <c r="I209" i="26"/>
  <c r="H209" i="26"/>
  <c r="G209" i="26"/>
  <c r="F209" i="26"/>
  <c r="E209" i="26"/>
  <c r="D209" i="26"/>
  <c r="L196" i="26"/>
  <c r="K196" i="26"/>
  <c r="J196" i="26"/>
  <c r="I196" i="26"/>
  <c r="H196" i="26"/>
  <c r="F196" i="26"/>
  <c r="E196" i="26"/>
  <c r="D196" i="26"/>
  <c r="G195" i="26"/>
  <c r="G194" i="26"/>
  <c r="G193" i="26"/>
  <c r="G192" i="26"/>
  <c r="G191" i="26"/>
  <c r="G190" i="26"/>
  <c r="G189" i="26"/>
  <c r="G196" i="26" s="1"/>
  <c r="O185" i="26"/>
  <c r="N185" i="26"/>
  <c r="M185" i="26"/>
  <c r="L185" i="26"/>
  <c r="K185" i="26"/>
  <c r="J185" i="26"/>
  <c r="I185" i="26"/>
  <c r="H185" i="26"/>
  <c r="F185" i="26"/>
  <c r="E185" i="26"/>
  <c r="D185" i="26"/>
  <c r="G184" i="26"/>
  <c r="G183" i="26"/>
  <c r="G182" i="26"/>
  <c r="G181" i="26"/>
  <c r="G180" i="26"/>
  <c r="G179" i="26"/>
  <c r="G178" i="26"/>
  <c r="G185" i="26" s="1"/>
  <c r="I172" i="26"/>
  <c r="H172" i="26"/>
  <c r="G172" i="26"/>
  <c r="F172" i="26"/>
  <c r="E172" i="26"/>
  <c r="D172" i="26"/>
  <c r="K171" i="26"/>
  <c r="J171" i="26"/>
  <c r="K170" i="26"/>
  <c r="J170" i="26"/>
  <c r="K169" i="26"/>
  <c r="J169" i="26"/>
  <c r="K168" i="26"/>
  <c r="J168" i="26"/>
  <c r="K167" i="26"/>
  <c r="J167" i="26"/>
  <c r="K166" i="26"/>
  <c r="J166" i="26"/>
  <c r="K165" i="26"/>
  <c r="K172" i="26" s="1"/>
  <c r="J165" i="26"/>
  <c r="J172" i="26" s="1"/>
  <c r="J162" i="26"/>
  <c r="I162" i="26"/>
  <c r="H162" i="26"/>
  <c r="F162" i="26"/>
  <c r="E162" i="26"/>
  <c r="D162" i="26"/>
  <c r="G161" i="26"/>
  <c r="G160" i="26"/>
  <c r="G159" i="26"/>
  <c r="G158" i="26"/>
  <c r="G157" i="26"/>
  <c r="G156" i="26"/>
  <c r="G155" i="26"/>
  <c r="G162" i="26" s="1"/>
  <c r="N151" i="26"/>
  <c r="M151" i="26"/>
  <c r="L151" i="26"/>
  <c r="K151" i="26"/>
  <c r="J151" i="26"/>
  <c r="H151" i="26"/>
  <c r="G151" i="26"/>
  <c r="F151" i="26"/>
  <c r="E151" i="26"/>
  <c r="D151" i="26"/>
  <c r="I150" i="26"/>
  <c r="I149" i="26"/>
  <c r="I148" i="26"/>
  <c r="I147" i="26"/>
  <c r="I146" i="26"/>
  <c r="I145" i="26"/>
  <c r="I144" i="26"/>
  <c r="I151" i="26" s="1"/>
  <c r="F137" i="26"/>
  <c r="E137" i="26"/>
  <c r="D137" i="26"/>
  <c r="G136" i="26"/>
  <c r="G135" i="26"/>
  <c r="G134" i="26"/>
  <c r="G133" i="26"/>
  <c r="G132" i="26"/>
  <c r="G131" i="26"/>
  <c r="G137" i="26" s="1"/>
  <c r="L127" i="26"/>
  <c r="K127" i="26"/>
  <c r="I127" i="26"/>
  <c r="H127" i="26"/>
  <c r="G127" i="26"/>
  <c r="F127" i="26"/>
  <c r="E127" i="26"/>
  <c r="D127" i="26"/>
  <c r="L116" i="26"/>
  <c r="K116" i="26"/>
  <c r="I116" i="26"/>
  <c r="H116" i="26"/>
  <c r="G116" i="26"/>
  <c r="F116" i="26"/>
  <c r="E116" i="26"/>
  <c r="D116" i="26"/>
  <c r="M105" i="26"/>
  <c r="L105" i="26"/>
  <c r="K105" i="26"/>
  <c r="J105" i="26"/>
  <c r="I105" i="26"/>
  <c r="H105" i="26"/>
  <c r="G105" i="26"/>
  <c r="F105" i="26"/>
  <c r="E105" i="26"/>
  <c r="D105" i="26"/>
  <c r="K92" i="26"/>
  <c r="J92" i="26"/>
  <c r="I92" i="26"/>
  <c r="H92" i="26"/>
  <c r="G92" i="26"/>
  <c r="F92" i="26"/>
  <c r="E92" i="26"/>
  <c r="D92" i="26"/>
  <c r="O79" i="26"/>
  <c r="N79" i="26"/>
  <c r="M79" i="26"/>
  <c r="L79" i="26"/>
  <c r="K79" i="26"/>
  <c r="J79" i="26"/>
  <c r="I79" i="26"/>
  <c r="F79" i="26"/>
  <c r="E79" i="26"/>
  <c r="D79" i="26"/>
  <c r="G78" i="26"/>
  <c r="G77" i="26"/>
  <c r="G76" i="26"/>
  <c r="G75" i="26"/>
  <c r="G74" i="26"/>
  <c r="G73" i="26"/>
  <c r="G72" i="26"/>
  <c r="G79" i="26" s="1"/>
  <c r="L69" i="26"/>
  <c r="K69" i="26"/>
  <c r="I69" i="26"/>
  <c r="H69" i="26"/>
  <c r="G69" i="26"/>
  <c r="F69" i="26"/>
  <c r="E69" i="26"/>
  <c r="D69" i="26"/>
  <c r="K58" i="26"/>
  <c r="J58" i="26"/>
  <c r="I58" i="26"/>
  <c r="H58" i="26"/>
  <c r="G58" i="26"/>
  <c r="F58" i="26"/>
  <c r="E58" i="26"/>
  <c r="D58" i="26"/>
  <c r="E47" i="26"/>
  <c r="D47" i="26"/>
  <c r="F35" i="26"/>
  <c r="E35" i="26"/>
  <c r="D35" i="26"/>
  <c r="G35" i="26" s="1"/>
  <c r="G34" i="26"/>
  <c r="G33" i="26"/>
  <c r="G32" i="26"/>
  <c r="G31" i="26"/>
  <c r="G30" i="26"/>
  <c r="G29" i="26"/>
  <c r="G28" i="26"/>
  <c r="O24" i="26"/>
  <c r="N24" i="26"/>
  <c r="M24" i="26"/>
  <c r="L24" i="26"/>
  <c r="K24" i="26"/>
  <c r="J24" i="26"/>
  <c r="I24" i="26"/>
  <c r="H24" i="26"/>
  <c r="F24" i="26"/>
  <c r="E24" i="26"/>
  <c r="D24" i="26"/>
  <c r="G24" i="26" s="1"/>
  <c r="G23" i="26"/>
  <c r="G22" i="26"/>
  <c r="G21" i="26"/>
  <c r="G20" i="26"/>
  <c r="G19" i="26"/>
  <c r="G18" i="26"/>
  <c r="G17" i="26"/>
  <c r="I219" i="25" l="1"/>
  <c r="H219" i="25"/>
  <c r="G219" i="25"/>
  <c r="F219" i="25"/>
  <c r="E219" i="25"/>
  <c r="D219" i="25"/>
  <c r="F213" i="25"/>
  <c r="E213" i="25"/>
  <c r="D213" i="25"/>
  <c r="L209" i="25"/>
  <c r="K209" i="25"/>
  <c r="J209" i="25"/>
  <c r="I209" i="25"/>
  <c r="H209" i="25"/>
  <c r="G209" i="25"/>
  <c r="F209" i="25"/>
  <c r="E209" i="25"/>
  <c r="D209" i="25"/>
  <c r="L196" i="25"/>
  <c r="K196" i="25"/>
  <c r="J196" i="25"/>
  <c r="I196" i="25"/>
  <c r="H196" i="25"/>
  <c r="F196" i="25"/>
  <c r="E196" i="25"/>
  <c r="D196" i="25"/>
  <c r="G195" i="25"/>
  <c r="G194" i="25"/>
  <c r="G193" i="25"/>
  <c r="G192" i="25"/>
  <c r="G191" i="25"/>
  <c r="G196" i="25" s="1"/>
  <c r="G190" i="25"/>
  <c r="G189" i="25"/>
  <c r="O185" i="25"/>
  <c r="N185" i="25"/>
  <c r="M185" i="25"/>
  <c r="L185" i="25"/>
  <c r="K185" i="25"/>
  <c r="J185" i="25"/>
  <c r="I185" i="25"/>
  <c r="H185" i="25"/>
  <c r="F185" i="25"/>
  <c r="E185" i="25"/>
  <c r="D185" i="25"/>
  <c r="G184" i="25"/>
  <c r="G183" i="25"/>
  <c r="G182" i="25"/>
  <c r="G181" i="25"/>
  <c r="G180" i="25"/>
  <c r="G179" i="25"/>
  <c r="G178" i="25"/>
  <c r="G185" i="25" s="1"/>
  <c r="I172" i="25"/>
  <c r="H172" i="25"/>
  <c r="G172" i="25"/>
  <c r="F172" i="25"/>
  <c r="E172" i="25"/>
  <c r="D172" i="25"/>
  <c r="K171" i="25"/>
  <c r="J171" i="25"/>
  <c r="K170" i="25"/>
  <c r="J170" i="25"/>
  <c r="K169" i="25"/>
  <c r="J169" i="25"/>
  <c r="K168" i="25"/>
  <c r="J168" i="25"/>
  <c r="K167" i="25"/>
  <c r="J167" i="25"/>
  <c r="K166" i="25"/>
  <c r="J166" i="25"/>
  <c r="K165" i="25"/>
  <c r="K172" i="25" s="1"/>
  <c r="J165" i="25"/>
  <c r="J172" i="25" s="1"/>
  <c r="J162" i="25"/>
  <c r="I162" i="25"/>
  <c r="H162" i="25"/>
  <c r="F162" i="25"/>
  <c r="E162" i="25"/>
  <c r="D162" i="25"/>
  <c r="G161" i="25"/>
  <c r="G160" i="25"/>
  <c r="G159" i="25"/>
  <c r="G158" i="25"/>
  <c r="G157" i="25"/>
  <c r="G156" i="25"/>
  <c r="G155" i="25"/>
  <c r="G162" i="25" s="1"/>
  <c r="N151" i="25"/>
  <c r="M151" i="25"/>
  <c r="L151" i="25"/>
  <c r="K151" i="25"/>
  <c r="J151" i="25"/>
  <c r="H151" i="25"/>
  <c r="G151" i="25"/>
  <c r="F151" i="25"/>
  <c r="E151" i="25"/>
  <c r="D151" i="25"/>
  <c r="I150" i="25"/>
  <c r="I149" i="25"/>
  <c r="I148" i="25"/>
  <c r="I147" i="25"/>
  <c r="I146" i="25"/>
  <c r="I145" i="25"/>
  <c r="I144" i="25"/>
  <c r="I151" i="25" s="1"/>
  <c r="F137" i="25"/>
  <c r="E137" i="25"/>
  <c r="D137" i="25"/>
  <c r="G136" i="25"/>
  <c r="G135" i="25"/>
  <c r="G134" i="25"/>
  <c r="G133" i="25"/>
  <c r="G132" i="25"/>
  <c r="G137" i="25" s="1"/>
  <c r="G131" i="25"/>
  <c r="L127" i="25"/>
  <c r="K127" i="25"/>
  <c r="I127" i="25"/>
  <c r="H127" i="25"/>
  <c r="G127" i="25"/>
  <c r="F127" i="25"/>
  <c r="E127" i="25"/>
  <c r="D127" i="25"/>
  <c r="L116" i="25"/>
  <c r="K116" i="25"/>
  <c r="I116" i="25"/>
  <c r="H116" i="25"/>
  <c r="G116" i="25"/>
  <c r="F116" i="25"/>
  <c r="E116" i="25"/>
  <c r="D116" i="25"/>
  <c r="M105" i="25"/>
  <c r="L105" i="25"/>
  <c r="K105" i="25"/>
  <c r="J105" i="25"/>
  <c r="I105" i="25"/>
  <c r="H105" i="25"/>
  <c r="G105" i="25"/>
  <c r="F105" i="25"/>
  <c r="E105" i="25"/>
  <c r="D105" i="25"/>
  <c r="K92" i="25"/>
  <c r="J92" i="25"/>
  <c r="I92" i="25"/>
  <c r="H92" i="25"/>
  <c r="G92" i="25"/>
  <c r="F92" i="25"/>
  <c r="E92" i="25"/>
  <c r="D92" i="25"/>
  <c r="O79" i="25"/>
  <c r="N79" i="25"/>
  <c r="M79" i="25"/>
  <c r="L79" i="25"/>
  <c r="K79" i="25"/>
  <c r="J79" i="25"/>
  <c r="I79" i="25"/>
  <c r="F79" i="25"/>
  <c r="E79" i="25"/>
  <c r="D79" i="25"/>
  <c r="G78" i="25"/>
  <c r="G77" i="25"/>
  <c r="G76" i="25"/>
  <c r="G75" i="25"/>
  <c r="G74" i="25"/>
  <c r="G73" i="25"/>
  <c r="G72" i="25"/>
  <c r="G79" i="25" s="1"/>
  <c r="L69" i="25"/>
  <c r="K69" i="25"/>
  <c r="I69" i="25"/>
  <c r="H69" i="25"/>
  <c r="G69" i="25"/>
  <c r="F69" i="25"/>
  <c r="E69" i="25"/>
  <c r="D69" i="25"/>
  <c r="K58" i="25"/>
  <c r="J58" i="25"/>
  <c r="I58" i="25"/>
  <c r="H58" i="25"/>
  <c r="G58" i="25"/>
  <c r="F58" i="25"/>
  <c r="E58" i="25"/>
  <c r="D58" i="25"/>
  <c r="E47" i="25"/>
  <c r="D47" i="25"/>
  <c r="G35" i="25"/>
  <c r="F35" i="25"/>
  <c r="E35" i="25"/>
  <c r="D35" i="25"/>
  <c r="G34" i="25"/>
  <c r="G33" i="25"/>
  <c r="G32" i="25"/>
  <c r="G31" i="25"/>
  <c r="G30" i="25"/>
  <c r="G29" i="25"/>
  <c r="G28" i="25"/>
  <c r="O24" i="25"/>
  <c r="N24" i="25"/>
  <c r="M24" i="25"/>
  <c r="L24" i="25"/>
  <c r="K24" i="25"/>
  <c r="J24" i="25"/>
  <c r="I24" i="25"/>
  <c r="H24" i="25"/>
  <c r="F24" i="25"/>
  <c r="E24" i="25"/>
  <c r="D24" i="25"/>
  <c r="G24" i="25" s="1"/>
  <c r="G23" i="25"/>
  <c r="G22" i="25"/>
  <c r="G21" i="25"/>
  <c r="G20" i="25"/>
  <c r="G19" i="25"/>
  <c r="G18" i="25"/>
  <c r="G17" i="25"/>
  <c r="I219" i="24" l="1"/>
  <c r="H219" i="24"/>
  <c r="G219" i="24"/>
  <c r="F219" i="24"/>
  <c r="E219" i="24"/>
  <c r="D219" i="24"/>
  <c r="F213" i="24"/>
  <c r="E213" i="24"/>
  <c r="D213" i="24"/>
  <c r="L209" i="24"/>
  <c r="K209" i="24"/>
  <c r="J209" i="24"/>
  <c r="I209" i="24"/>
  <c r="H209" i="24"/>
  <c r="G209" i="24"/>
  <c r="F209" i="24"/>
  <c r="E209" i="24"/>
  <c r="D209" i="24"/>
  <c r="L196" i="24"/>
  <c r="K196" i="24"/>
  <c r="J196" i="24"/>
  <c r="I196" i="24"/>
  <c r="H196" i="24"/>
  <c r="F196" i="24"/>
  <c r="E196" i="24"/>
  <c r="D196" i="24"/>
  <c r="G195" i="24"/>
  <c r="G194" i="24"/>
  <c r="G193" i="24"/>
  <c r="G192" i="24"/>
  <c r="G191" i="24"/>
  <c r="G196" i="24" s="1"/>
  <c r="G190" i="24"/>
  <c r="G189" i="24"/>
  <c r="O185" i="24"/>
  <c r="N185" i="24"/>
  <c r="M185" i="24"/>
  <c r="L185" i="24"/>
  <c r="K185" i="24"/>
  <c r="J185" i="24"/>
  <c r="I185" i="24"/>
  <c r="H185" i="24"/>
  <c r="F185" i="24"/>
  <c r="E185" i="24"/>
  <c r="D185" i="24"/>
  <c r="G184" i="24"/>
  <c r="G183" i="24"/>
  <c r="G182" i="24"/>
  <c r="G181" i="24"/>
  <c r="G180" i="24"/>
  <c r="G179" i="24"/>
  <c r="G185" i="24" s="1"/>
  <c r="G178" i="24"/>
  <c r="I172" i="24"/>
  <c r="H172" i="24"/>
  <c r="G172" i="24"/>
  <c r="F172" i="24"/>
  <c r="E172" i="24"/>
  <c r="D172" i="24"/>
  <c r="K171" i="24"/>
  <c r="J171" i="24"/>
  <c r="K170" i="24"/>
  <c r="J170" i="24"/>
  <c r="K169" i="24"/>
  <c r="J169" i="24"/>
  <c r="K168" i="24"/>
  <c r="J168" i="24"/>
  <c r="K167" i="24"/>
  <c r="J167" i="24"/>
  <c r="K166" i="24"/>
  <c r="J166" i="24"/>
  <c r="K165" i="24"/>
  <c r="K172" i="24" s="1"/>
  <c r="J165" i="24"/>
  <c r="J172" i="24" s="1"/>
  <c r="J162" i="24"/>
  <c r="I162" i="24"/>
  <c r="H162" i="24"/>
  <c r="F162" i="24"/>
  <c r="E162" i="24"/>
  <c r="D162" i="24"/>
  <c r="G161" i="24"/>
  <c r="G160" i="24"/>
  <c r="G159" i="24"/>
  <c r="G158" i="24"/>
  <c r="G157" i="24"/>
  <c r="G156" i="24"/>
  <c r="G162" i="24" s="1"/>
  <c r="G155" i="24"/>
  <c r="N151" i="24"/>
  <c r="M151" i="24"/>
  <c r="L151" i="24"/>
  <c r="K151" i="24"/>
  <c r="J151" i="24"/>
  <c r="H151" i="24"/>
  <c r="G151" i="24"/>
  <c r="F151" i="24"/>
  <c r="E151" i="24"/>
  <c r="D151" i="24"/>
  <c r="I150" i="24"/>
  <c r="I149" i="24"/>
  <c r="I148" i="24"/>
  <c r="I147" i="24"/>
  <c r="I146" i="24"/>
  <c r="I145" i="24"/>
  <c r="I144" i="24"/>
  <c r="I151" i="24" s="1"/>
  <c r="F137" i="24"/>
  <c r="E137" i="24"/>
  <c r="D137" i="24"/>
  <c r="G136" i="24"/>
  <c r="G135" i="24"/>
  <c r="G134" i="24"/>
  <c r="G133" i="24"/>
  <c r="G132" i="24"/>
  <c r="G137" i="24" s="1"/>
  <c r="G131" i="24"/>
  <c r="L127" i="24"/>
  <c r="K127" i="24"/>
  <c r="I127" i="24"/>
  <c r="H127" i="24"/>
  <c r="G127" i="24"/>
  <c r="F127" i="24"/>
  <c r="E127" i="24"/>
  <c r="D127" i="24"/>
  <c r="L116" i="24"/>
  <c r="K116" i="24"/>
  <c r="I116" i="24"/>
  <c r="H116" i="24"/>
  <c r="G116" i="24"/>
  <c r="F116" i="24"/>
  <c r="E116" i="24"/>
  <c r="D116" i="24"/>
  <c r="M105" i="24"/>
  <c r="L105" i="24"/>
  <c r="K105" i="24"/>
  <c r="J105" i="24"/>
  <c r="I105" i="24"/>
  <c r="H105" i="24"/>
  <c r="G105" i="24"/>
  <c r="F105" i="24"/>
  <c r="E105" i="24"/>
  <c r="D105" i="24"/>
  <c r="K92" i="24"/>
  <c r="J92" i="24"/>
  <c r="I92" i="24"/>
  <c r="H92" i="24"/>
  <c r="G92" i="24"/>
  <c r="F92" i="24"/>
  <c r="E92" i="24"/>
  <c r="D92" i="24"/>
  <c r="O79" i="24"/>
  <c r="N79" i="24"/>
  <c r="M79" i="24"/>
  <c r="L79" i="24"/>
  <c r="K79" i="24"/>
  <c r="J79" i="24"/>
  <c r="I79" i="24"/>
  <c r="F79" i="24"/>
  <c r="E79" i="24"/>
  <c r="D79" i="24"/>
  <c r="G78" i="24"/>
  <c r="G77" i="24"/>
  <c r="G76" i="24"/>
  <c r="G75" i="24"/>
  <c r="G74" i="24"/>
  <c r="G73" i="24"/>
  <c r="G79" i="24" s="1"/>
  <c r="G72" i="24"/>
  <c r="L69" i="24"/>
  <c r="K69" i="24"/>
  <c r="I69" i="24"/>
  <c r="H69" i="24"/>
  <c r="G69" i="24"/>
  <c r="F69" i="24"/>
  <c r="D65" i="24"/>
  <c r="D69" i="24" s="1"/>
  <c r="K58" i="24"/>
  <c r="J58" i="24"/>
  <c r="I58" i="24"/>
  <c r="H58" i="24"/>
  <c r="G58" i="24"/>
  <c r="F58" i="24"/>
  <c r="E58" i="24"/>
  <c r="D58" i="24"/>
  <c r="E47" i="24"/>
  <c r="D47" i="24"/>
  <c r="F35" i="24"/>
  <c r="E35" i="24"/>
  <c r="G35" i="24" s="1"/>
  <c r="D35" i="24"/>
  <c r="G34" i="24"/>
  <c r="G33" i="24"/>
  <c r="G32" i="24"/>
  <c r="G31" i="24"/>
  <c r="G30" i="24"/>
  <c r="G29" i="24"/>
  <c r="G28" i="24"/>
  <c r="O24" i="24"/>
  <c r="N24" i="24"/>
  <c r="M24" i="24"/>
  <c r="L24" i="24"/>
  <c r="K24" i="24"/>
  <c r="J24" i="24"/>
  <c r="I24" i="24"/>
  <c r="H24" i="24"/>
  <c r="F24" i="24"/>
  <c r="E24" i="24"/>
  <c r="D24" i="24"/>
  <c r="G24" i="24" s="1"/>
  <c r="G23" i="24"/>
  <c r="G22" i="24"/>
  <c r="G21" i="24"/>
  <c r="G20" i="24"/>
  <c r="G19" i="24"/>
  <c r="G17" i="24"/>
  <c r="E65" i="24" l="1"/>
  <c r="E69" i="24" s="1"/>
  <c r="I219" i="23" l="1"/>
  <c r="H219" i="23"/>
  <c r="G219" i="23"/>
  <c r="F219" i="23"/>
  <c r="E219" i="23"/>
  <c r="D219" i="23"/>
  <c r="F213" i="23"/>
  <c r="D213" i="23"/>
  <c r="L209" i="23"/>
  <c r="K209" i="23"/>
  <c r="J209" i="23"/>
  <c r="I209" i="23"/>
  <c r="H209" i="23"/>
  <c r="G209" i="23"/>
  <c r="F209" i="23"/>
  <c r="E209" i="23"/>
  <c r="D209" i="23"/>
  <c r="L196" i="23"/>
  <c r="K196" i="23"/>
  <c r="J196" i="23"/>
  <c r="I196" i="23"/>
  <c r="H196" i="23"/>
  <c r="F196" i="23"/>
  <c r="E196" i="23"/>
  <c r="D196" i="23"/>
  <c r="G195" i="23"/>
  <c r="G194" i="23"/>
  <c r="G193" i="23"/>
  <c r="G192" i="23"/>
  <c r="G191" i="23"/>
  <c r="G190" i="23"/>
  <c r="G189" i="23"/>
  <c r="G196" i="23" s="1"/>
  <c r="O185" i="23"/>
  <c r="N185" i="23"/>
  <c r="M185" i="23"/>
  <c r="L185" i="23"/>
  <c r="K185" i="23"/>
  <c r="J185" i="23"/>
  <c r="I185" i="23"/>
  <c r="H185" i="23"/>
  <c r="F185" i="23"/>
  <c r="E185" i="23"/>
  <c r="D185" i="23"/>
  <c r="G184" i="23"/>
  <c r="G183" i="23"/>
  <c r="G182" i="23"/>
  <c r="G181" i="23"/>
  <c r="G180" i="23"/>
  <c r="G179" i="23"/>
  <c r="G178" i="23"/>
  <c r="G185" i="23" s="1"/>
  <c r="I172" i="23"/>
  <c r="H172" i="23"/>
  <c r="G172" i="23"/>
  <c r="F172" i="23"/>
  <c r="E172" i="23"/>
  <c r="D172" i="23"/>
  <c r="K171" i="23"/>
  <c r="J171" i="23"/>
  <c r="K170" i="23"/>
  <c r="J170" i="23"/>
  <c r="K169" i="23"/>
  <c r="J169" i="23"/>
  <c r="K168" i="23"/>
  <c r="J168" i="23"/>
  <c r="K167" i="23"/>
  <c r="J167" i="23"/>
  <c r="K166" i="23"/>
  <c r="J166" i="23"/>
  <c r="K165" i="23"/>
  <c r="K172" i="23" s="1"/>
  <c r="J165" i="23"/>
  <c r="J172" i="23" s="1"/>
  <c r="J162" i="23"/>
  <c r="I162" i="23"/>
  <c r="H162" i="23"/>
  <c r="F162" i="23"/>
  <c r="E162" i="23"/>
  <c r="D162" i="23"/>
  <c r="G161" i="23"/>
  <c r="G160" i="23"/>
  <c r="G159" i="23"/>
  <c r="G158" i="23"/>
  <c r="G157" i="23"/>
  <c r="G156" i="23"/>
  <c r="G155" i="23"/>
  <c r="G162" i="23" s="1"/>
  <c r="N151" i="23"/>
  <c r="M151" i="23"/>
  <c r="L151" i="23"/>
  <c r="K151" i="23"/>
  <c r="J151" i="23"/>
  <c r="H151" i="23"/>
  <c r="G151" i="23"/>
  <c r="F151" i="23"/>
  <c r="E151" i="23"/>
  <c r="D151" i="23"/>
  <c r="I150" i="23"/>
  <c r="I149" i="23"/>
  <c r="I148" i="23"/>
  <c r="I147" i="23"/>
  <c r="I146" i="23"/>
  <c r="I145" i="23"/>
  <c r="I144" i="23"/>
  <c r="I151" i="23" s="1"/>
  <c r="F137" i="23"/>
  <c r="E137" i="23"/>
  <c r="D137" i="23"/>
  <c r="G136" i="23"/>
  <c r="G135" i="23"/>
  <c r="G134" i="23"/>
  <c r="G133" i="23"/>
  <c r="G132" i="23"/>
  <c r="G131" i="23"/>
  <c r="G137" i="23" s="1"/>
  <c r="L127" i="23"/>
  <c r="K127" i="23"/>
  <c r="I127" i="23"/>
  <c r="H127" i="23"/>
  <c r="G127" i="23"/>
  <c r="F127" i="23"/>
  <c r="E127" i="23"/>
  <c r="D127" i="23"/>
  <c r="L116" i="23"/>
  <c r="K116" i="23"/>
  <c r="I116" i="23"/>
  <c r="H116" i="23"/>
  <c r="G116" i="23"/>
  <c r="F116" i="23"/>
  <c r="E116" i="23"/>
  <c r="D116" i="23"/>
  <c r="M105" i="23"/>
  <c r="L105" i="23"/>
  <c r="K105" i="23"/>
  <c r="J105" i="23"/>
  <c r="I105" i="23"/>
  <c r="H105" i="23"/>
  <c r="G105" i="23"/>
  <c r="F105" i="23"/>
  <c r="E105" i="23"/>
  <c r="D105" i="23"/>
  <c r="K92" i="23"/>
  <c r="J92" i="23"/>
  <c r="I92" i="23"/>
  <c r="H92" i="23"/>
  <c r="G92" i="23"/>
  <c r="F92" i="23"/>
  <c r="E92" i="23"/>
  <c r="D92" i="23"/>
  <c r="O79" i="23"/>
  <c r="N79" i="23"/>
  <c r="M79" i="23"/>
  <c r="L79" i="23"/>
  <c r="K79" i="23"/>
  <c r="J79" i="23"/>
  <c r="I79" i="23"/>
  <c r="F79" i="23"/>
  <c r="E79" i="23"/>
  <c r="D79" i="23"/>
  <c r="G78" i="23"/>
  <c r="G77" i="23"/>
  <c r="G76" i="23"/>
  <c r="G75" i="23"/>
  <c r="G74" i="23"/>
  <c r="G73" i="23"/>
  <c r="G72" i="23"/>
  <c r="G79" i="23" s="1"/>
  <c r="L69" i="23"/>
  <c r="K69" i="23"/>
  <c r="I69" i="23"/>
  <c r="H69" i="23"/>
  <c r="G69" i="23"/>
  <c r="F69" i="23"/>
  <c r="E69" i="23"/>
  <c r="D69" i="23"/>
  <c r="K58" i="23"/>
  <c r="J58" i="23"/>
  <c r="I58" i="23"/>
  <c r="H58" i="23"/>
  <c r="G58" i="23"/>
  <c r="F58" i="23"/>
  <c r="E58" i="23"/>
  <c r="D58" i="23"/>
  <c r="E47" i="23"/>
  <c r="D47" i="23"/>
  <c r="F35" i="23"/>
  <c r="E35" i="23"/>
  <c r="D35" i="23"/>
  <c r="G35" i="23" s="1"/>
  <c r="G34" i="23"/>
  <c r="G33" i="23"/>
  <c r="G32" i="23"/>
  <c r="G31" i="23"/>
  <c r="G30" i="23"/>
  <c r="G29" i="23"/>
  <c r="G28" i="23"/>
  <c r="O24" i="23"/>
  <c r="N24" i="23"/>
  <c r="M24" i="23"/>
  <c r="L24" i="23"/>
  <c r="K24" i="23"/>
  <c r="J24" i="23"/>
  <c r="I24" i="23"/>
  <c r="H24" i="23"/>
  <c r="G24" i="23"/>
  <c r="F24" i="23"/>
  <c r="E24" i="23"/>
  <c r="D24" i="23"/>
  <c r="G23" i="23"/>
  <c r="G22" i="23"/>
  <c r="G21" i="23"/>
  <c r="G20" i="23"/>
  <c r="G19" i="23"/>
  <c r="G18" i="23"/>
  <c r="G17" i="23"/>
  <c r="I219" i="22" l="1"/>
  <c r="H219" i="22"/>
  <c r="G219" i="22"/>
  <c r="L209" i="22"/>
  <c r="K209" i="22"/>
  <c r="J209" i="22"/>
  <c r="I209" i="22"/>
  <c r="H209" i="22"/>
  <c r="G209" i="22"/>
  <c r="F209" i="22"/>
  <c r="E209" i="22"/>
  <c r="D209" i="22"/>
  <c r="L196" i="22"/>
  <c r="K196" i="22"/>
  <c r="J196" i="22"/>
  <c r="I196" i="22"/>
  <c r="H196" i="22"/>
  <c r="D196" i="22"/>
  <c r="G195" i="22"/>
  <c r="G194" i="22"/>
  <c r="G193" i="22"/>
  <c r="G192" i="22"/>
  <c r="G191" i="22"/>
  <c r="G190" i="22"/>
  <c r="G189" i="22"/>
  <c r="G196" i="22" s="1"/>
  <c r="O185" i="22"/>
  <c r="N185" i="22"/>
  <c r="M185" i="22"/>
  <c r="L185" i="22"/>
  <c r="K185" i="22"/>
  <c r="J185" i="22"/>
  <c r="I185" i="22"/>
  <c r="H185" i="22"/>
  <c r="F185" i="22"/>
  <c r="E185" i="22"/>
  <c r="D185" i="22"/>
  <c r="G184" i="22"/>
  <c r="G183" i="22"/>
  <c r="G182" i="22"/>
  <c r="G181" i="22"/>
  <c r="G180" i="22"/>
  <c r="G179" i="22"/>
  <c r="G185" i="22" s="1"/>
  <c r="G178" i="22"/>
  <c r="I172" i="22"/>
  <c r="H172" i="22"/>
  <c r="G172" i="22"/>
  <c r="F172" i="22"/>
  <c r="E172" i="22"/>
  <c r="D172" i="22"/>
  <c r="K171" i="22"/>
  <c r="J171" i="22"/>
  <c r="K170" i="22"/>
  <c r="J170" i="22"/>
  <c r="K169" i="22"/>
  <c r="J169" i="22"/>
  <c r="K168" i="22"/>
  <c r="J168" i="22"/>
  <c r="K167" i="22"/>
  <c r="J167" i="22"/>
  <c r="K166" i="22"/>
  <c r="J166" i="22"/>
  <c r="K165" i="22"/>
  <c r="K172" i="22" s="1"/>
  <c r="J165" i="22"/>
  <c r="J172" i="22" s="1"/>
  <c r="J162" i="22"/>
  <c r="I162" i="22"/>
  <c r="H162" i="22"/>
  <c r="F162" i="22"/>
  <c r="E162" i="22"/>
  <c r="D162" i="22"/>
  <c r="G161" i="22"/>
  <c r="G160" i="22"/>
  <c r="G159" i="22"/>
  <c r="G158" i="22"/>
  <c r="G157" i="22"/>
  <c r="G156" i="22"/>
  <c r="G162" i="22" s="1"/>
  <c r="G155" i="22"/>
  <c r="N151" i="22"/>
  <c r="M151" i="22"/>
  <c r="L151" i="22"/>
  <c r="K151" i="22"/>
  <c r="J151" i="22"/>
  <c r="H151" i="22"/>
  <c r="G151" i="22"/>
  <c r="F151" i="22"/>
  <c r="E151" i="22"/>
  <c r="D151" i="22"/>
  <c r="I150" i="22"/>
  <c r="I149" i="22"/>
  <c r="I148" i="22"/>
  <c r="I147" i="22"/>
  <c r="I146" i="22"/>
  <c r="I145" i="22"/>
  <c r="I144" i="22"/>
  <c r="I151" i="22" s="1"/>
  <c r="F137" i="22"/>
  <c r="E137" i="22"/>
  <c r="D137" i="22"/>
  <c r="G136" i="22"/>
  <c r="G135" i="22"/>
  <c r="G134" i="22"/>
  <c r="G133" i="22"/>
  <c r="G132" i="22"/>
  <c r="G137" i="22" s="1"/>
  <c r="G131" i="22"/>
  <c r="L127" i="22"/>
  <c r="K127" i="22"/>
  <c r="I127" i="22"/>
  <c r="H127" i="22"/>
  <c r="G127" i="22"/>
  <c r="F127" i="22"/>
  <c r="E127" i="22"/>
  <c r="D127" i="22"/>
  <c r="L116" i="22"/>
  <c r="K116" i="22"/>
  <c r="I116" i="22"/>
  <c r="H116" i="22"/>
  <c r="G116" i="22"/>
  <c r="F116" i="22"/>
  <c r="E116" i="22"/>
  <c r="D116" i="22"/>
  <c r="M105" i="22"/>
  <c r="L105" i="22"/>
  <c r="K105" i="22"/>
  <c r="J105" i="22"/>
  <c r="I105" i="22"/>
  <c r="H105" i="22"/>
  <c r="G105" i="22"/>
  <c r="F105" i="22"/>
  <c r="E105" i="22"/>
  <c r="D105" i="22"/>
  <c r="K92" i="22"/>
  <c r="J92" i="22"/>
  <c r="I92" i="22"/>
  <c r="H92" i="22"/>
  <c r="G92" i="22"/>
  <c r="F92" i="22"/>
  <c r="E92" i="22"/>
  <c r="D92" i="22"/>
  <c r="O79" i="22"/>
  <c r="N79" i="22"/>
  <c r="M79" i="22"/>
  <c r="L79" i="22"/>
  <c r="K79" i="22"/>
  <c r="J79" i="22"/>
  <c r="I79" i="22"/>
  <c r="F79" i="22"/>
  <c r="E79" i="22"/>
  <c r="D79" i="22"/>
  <c r="G78" i="22"/>
  <c r="G77" i="22"/>
  <c r="G76" i="22"/>
  <c r="G75" i="22"/>
  <c r="G74" i="22"/>
  <c r="G73" i="22"/>
  <c r="G79" i="22" s="1"/>
  <c r="G72" i="22"/>
  <c r="L69" i="22"/>
  <c r="K69" i="22"/>
  <c r="I69" i="22"/>
  <c r="H69" i="22"/>
  <c r="G69" i="22"/>
  <c r="F69" i="22"/>
  <c r="E69" i="22"/>
  <c r="D69" i="22"/>
  <c r="K58" i="22"/>
  <c r="J58" i="22"/>
  <c r="I58" i="22"/>
  <c r="H58" i="22"/>
  <c r="G58" i="22"/>
  <c r="F58" i="22"/>
  <c r="E58" i="22"/>
  <c r="D58" i="22"/>
  <c r="E47" i="22"/>
  <c r="D47" i="22"/>
  <c r="G35" i="22"/>
  <c r="F35" i="22"/>
  <c r="E35" i="22"/>
  <c r="D35" i="22"/>
  <c r="G34" i="22"/>
  <c r="G33" i="22"/>
  <c r="G32" i="22"/>
  <c r="G31" i="22"/>
  <c r="G30" i="22"/>
  <c r="G29" i="22"/>
  <c r="G28" i="22"/>
  <c r="O24" i="22"/>
  <c r="N24" i="22"/>
  <c r="M24" i="22"/>
  <c r="L24" i="22"/>
  <c r="K24" i="22"/>
  <c r="J24" i="22"/>
  <c r="I24" i="22"/>
  <c r="H24" i="22"/>
  <c r="F24" i="22"/>
  <c r="G24" i="22" s="1"/>
  <c r="E24" i="22"/>
  <c r="D24" i="22"/>
  <c r="G23" i="22"/>
  <c r="G22" i="22"/>
  <c r="G21" i="22"/>
  <c r="G20" i="22"/>
  <c r="G19" i="22"/>
  <c r="G18" i="22"/>
  <c r="G17" i="22"/>
  <c r="I219" i="21" l="1"/>
  <c r="H219" i="21"/>
  <c r="G219" i="21"/>
  <c r="F219" i="21"/>
  <c r="D219" i="21"/>
  <c r="E218" i="21"/>
  <c r="E217" i="21"/>
  <c r="E219" i="21" s="1"/>
  <c r="F213" i="21"/>
  <c r="D213" i="21"/>
  <c r="L209" i="21"/>
  <c r="K209" i="21"/>
  <c r="J209" i="21"/>
  <c r="I209" i="21"/>
  <c r="H209" i="21"/>
  <c r="G209" i="21"/>
  <c r="F209" i="21"/>
  <c r="E209" i="21"/>
  <c r="D209" i="21"/>
  <c r="G195" i="21"/>
  <c r="G194" i="21"/>
  <c r="G193" i="21"/>
  <c r="L192" i="21"/>
  <c r="K192" i="21"/>
  <c r="K196" i="21" s="1"/>
  <c r="J192" i="21"/>
  <c r="I192" i="21"/>
  <c r="I196" i="21" s="1"/>
  <c r="H192" i="21"/>
  <c r="F192" i="21"/>
  <c r="F196" i="21" s="1"/>
  <c r="E192" i="21"/>
  <c r="G192" i="21" s="1"/>
  <c r="D192" i="21"/>
  <c r="D196" i="21" s="1"/>
  <c r="L191" i="21"/>
  <c r="L196" i="21" s="1"/>
  <c r="K191" i="21"/>
  <c r="J191" i="21"/>
  <c r="J196" i="21" s="1"/>
  <c r="I191" i="21"/>
  <c r="H191" i="21"/>
  <c r="H196" i="21" s="1"/>
  <c r="E191" i="21"/>
  <c r="G191" i="21" s="1"/>
  <c r="G190" i="21"/>
  <c r="G189" i="21"/>
  <c r="G196" i="21" s="1"/>
  <c r="O185" i="21"/>
  <c r="N185" i="21"/>
  <c r="M185" i="21"/>
  <c r="L185" i="21"/>
  <c r="K185" i="21"/>
  <c r="J185" i="21"/>
  <c r="H185" i="21"/>
  <c r="F185" i="21"/>
  <c r="D185" i="21"/>
  <c r="G184" i="21"/>
  <c r="G183" i="21"/>
  <c r="G182" i="21"/>
  <c r="I181" i="21"/>
  <c r="H181" i="21"/>
  <c r="G181" i="21"/>
  <c r="F181" i="21"/>
  <c r="E181" i="21"/>
  <c r="E185" i="21" s="1"/>
  <c r="D181" i="21"/>
  <c r="I180" i="21"/>
  <c r="I185" i="21" s="1"/>
  <c r="H180" i="21"/>
  <c r="G180" i="21"/>
  <c r="E180" i="21"/>
  <c r="G179" i="21"/>
  <c r="G178" i="21"/>
  <c r="G185" i="21" s="1"/>
  <c r="I172" i="21"/>
  <c r="H172" i="21"/>
  <c r="G172" i="21"/>
  <c r="F172" i="21"/>
  <c r="E172" i="21"/>
  <c r="D172" i="21"/>
  <c r="K171" i="21"/>
  <c r="J171" i="21"/>
  <c r="K170" i="21"/>
  <c r="J170" i="21"/>
  <c r="K169" i="21"/>
  <c r="J169" i="21"/>
  <c r="K168" i="21"/>
  <c r="J168" i="21"/>
  <c r="K167" i="21"/>
  <c r="J167" i="21"/>
  <c r="K166" i="21"/>
  <c r="J166" i="21"/>
  <c r="K165" i="21"/>
  <c r="K172" i="21" s="1"/>
  <c r="J165" i="21"/>
  <c r="J172" i="21" s="1"/>
  <c r="J162" i="21"/>
  <c r="I162" i="21"/>
  <c r="H162" i="21"/>
  <c r="F162" i="21"/>
  <c r="E162" i="21"/>
  <c r="D162" i="21"/>
  <c r="G161" i="21"/>
  <c r="G160" i="21"/>
  <c r="G159" i="21"/>
  <c r="G158" i="21"/>
  <c r="G157" i="21"/>
  <c r="G156" i="21"/>
  <c r="G155" i="21"/>
  <c r="G162" i="21" s="1"/>
  <c r="N151" i="21"/>
  <c r="M151" i="21"/>
  <c r="L151" i="21"/>
  <c r="K151" i="21"/>
  <c r="J151" i="21"/>
  <c r="H151" i="21"/>
  <c r="G151" i="21"/>
  <c r="F151" i="21"/>
  <c r="E151" i="21"/>
  <c r="D151" i="21"/>
  <c r="I150" i="21"/>
  <c r="I149" i="21"/>
  <c r="I148" i="21"/>
  <c r="I147" i="21"/>
  <c r="I146" i="21"/>
  <c r="I145" i="21"/>
  <c r="I144" i="21"/>
  <c r="I151" i="21" s="1"/>
  <c r="F137" i="21"/>
  <c r="E137" i="21"/>
  <c r="D137" i="21"/>
  <c r="G136" i="21"/>
  <c r="G135" i="21"/>
  <c r="G134" i="21"/>
  <c r="G133" i="21"/>
  <c r="G132" i="21"/>
  <c r="G137" i="21" s="1"/>
  <c r="G131" i="21"/>
  <c r="L127" i="21"/>
  <c r="K127" i="21"/>
  <c r="I127" i="21"/>
  <c r="H127" i="21"/>
  <c r="G127" i="21"/>
  <c r="F127" i="21"/>
  <c r="E127" i="21"/>
  <c r="D127" i="21"/>
  <c r="L116" i="21"/>
  <c r="K116" i="21"/>
  <c r="I116" i="21"/>
  <c r="H116" i="21"/>
  <c r="G116" i="21"/>
  <c r="F116" i="21"/>
  <c r="E116" i="21"/>
  <c r="D116" i="21"/>
  <c r="M105" i="21"/>
  <c r="L105" i="21"/>
  <c r="K105" i="21"/>
  <c r="J105" i="21"/>
  <c r="I105" i="21"/>
  <c r="H105" i="21"/>
  <c r="G105" i="21"/>
  <c r="F105" i="21"/>
  <c r="E105" i="21"/>
  <c r="D105" i="21"/>
  <c r="K92" i="21"/>
  <c r="J92" i="21"/>
  <c r="I92" i="21"/>
  <c r="H92" i="21"/>
  <c r="G92" i="21"/>
  <c r="F92" i="21"/>
  <c r="E92" i="21"/>
  <c r="D92" i="21"/>
  <c r="O79" i="21"/>
  <c r="N79" i="21"/>
  <c r="M79" i="21"/>
  <c r="L79" i="21"/>
  <c r="K79" i="21"/>
  <c r="J79" i="21"/>
  <c r="I79" i="21"/>
  <c r="F79" i="21"/>
  <c r="E79" i="21"/>
  <c r="D79" i="21"/>
  <c r="G78" i="21"/>
  <c r="G77" i="21"/>
  <c r="G76" i="21"/>
  <c r="G75" i="21"/>
  <c r="G74" i="21"/>
  <c r="G73" i="21"/>
  <c r="G72" i="21"/>
  <c r="G79" i="21" s="1"/>
  <c r="L69" i="21"/>
  <c r="K69" i="21"/>
  <c r="J69" i="21"/>
  <c r="I69" i="21"/>
  <c r="H69" i="21"/>
  <c r="G69" i="21"/>
  <c r="F69" i="21"/>
  <c r="E69" i="21"/>
  <c r="E65" i="21"/>
  <c r="D65" i="21"/>
  <c r="D69" i="21" s="1"/>
  <c r="K58" i="21"/>
  <c r="J58" i="21"/>
  <c r="I58" i="21"/>
  <c r="H58" i="21"/>
  <c r="G58" i="21"/>
  <c r="F58" i="21"/>
  <c r="E58" i="21"/>
  <c r="D58" i="21"/>
  <c r="J54" i="21"/>
  <c r="E47" i="21"/>
  <c r="D47" i="21"/>
  <c r="F35" i="21"/>
  <c r="E35" i="21"/>
  <c r="G34" i="21"/>
  <c r="G33" i="21"/>
  <c r="G32" i="21"/>
  <c r="D31" i="21"/>
  <c r="D35" i="21" s="1"/>
  <c r="G35" i="21" s="1"/>
  <c r="G30" i="21"/>
  <c r="G29" i="21"/>
  <c r="G28" i="21"/>
  <c r="O24" i="21"/>
  <c r="N24" i="21"/>
  <c r="M24" i="21"/>
  <c r="L24" i="21"/>
  <c r="K24" i="21"/>
  <c r="J24" i="21"/>
  <c r="I24" i="21"/>
  <c r="F24" i="21"/>
  <c r="E24" i="21"/>
  <c r="G23" i="21"/>
  <c r="G22" i="21"/>
  <c r="G21" i="21"/>
  <c r="H20" i="21"/>
  <c r="H24" i="21" s="1"/>
  <c r="G20" i="21"/>
  <c r="D20" i="21"/>
  <c r="D24" i="21" s="1"/>
  <c r="G24" i="21" s="1"/>
  <c r="G19" i="21"/>
  <c r="G18" i="21"/>
  <c r="G17" i="21"/>
  <c r="E196" i="21" l="1"/>
  <c r="G31" i="21"/>
  <c r="E213" i="21"/>
  <c r="I219" i="20" l="1"/>
  <c r="H219" i="20"/>
  <c r="G219" i="20"/>
  <c r="E219" i="20"/>
  <c r="D219" i="20"/>
  <c r="F217" i="20"/>
  <c r="F216" i="20"/>
  <c r="F213" i="20" s="1"/>
  <c r="F214" i="20"/>
  <c r="E213" i="20"/>
  <c r="L209" i="20"/>
  <c r="K209" i="20"/>
  <c r="J209" i="20"/>
  <c r="I209" i="20"/>
  <c r="H209" i="20"/>
  <c r="G209" i="20"/>
  <c r="F209" i="20"/>
  <c r="E209" i="20"/>
  <c r="D209" i="20"/>
  <c r="L196" i="20"/>
  <c r="K196" i="20"/>
  <c r="J196" i="20"/>
  <c r="I196" i="20"/>
  <c r="H196" i="20"/>
  <c r="M196" i="20" s="1"/>
  <c r="F196" i="20"/>
  <c r="E196" i="20"/>
  <c r="G195" i="20"/>
  <c r="G194" i="20"/>
  <c r="G193" i="20"/>
  <c r="J192" i="20"/>
  <c r="M192" i="20" s="1"/>
  <c r="G192" i="20"/>
  <c r="F192" i="20"/>
  <c r="D192" i="20"/>
  <c r="D196" i="20" s="1"/>
  <c r="M191" i="20"/>
  <c r="G191" i="20"/>
  <c r="G196" i="20" s="1"/>
  <c r="G189" i="20"/>
  <c r="O185" i="20"/>
  <c r="N185" i="20"/>
  <c r="M185" i="20"/>
  <c r="L185" i="20"/>
  <c r="K185" i="20"/>
  <c r="J185" i="20"/>
  <c r="I185" i="20"/>
  <c r="F185" i="20"/>
  <c r="E185" i="20"/>
  <c r="G184" i="20"/>
  <c r="T183" i="20"/>
  <c r="G183" i="20"/>
  <c r="G182" i="20"/>
  <c r="H181" i="20"/>
  <c r="H185" i="20" s="1"/>
  <c r="D181" i="20"/>
  <c r="D185" i="20" s="1"/>
  <c r="G180" i="20"/>
  <c r="G179" i="20"/>
  <c r="G178" i="20"/>
  <c r="I172" i="20"/>
  <c r="H172" i="20"/>
  <c r="G172" i="20"/>
  <c r="F172" i="20"/>
  <c r="E172" i="20"/>
  <c r="D172" i="20"/>
  <c r="K171" i="20"/>
  <c r="J171" i="20"/>
  <c r="K170" i="20"/>
  <c r="J170" i="20"/>
  <c r="K169" i="20"/>
  <c r="J169" i="20"/>
  <c r="K168" i="20"/>
  <c r="J168" i="20"/>
  <c r="K167" i="20"/>
  <c r="K172" i="20" s="1"/>
  <c r="J167" i="20"/>
  <c r="K166" i="20"/>
  <c r="K165" i="20"/>
  <c r="J165" i="20"/>
  <c r="J172" i="20" s="1"/>
  <c r="J162" i="20"/>
  <c r="I162" i="20"/>
  <c r="H162" i="20"/>
  <c r="F162" i="20"/>
  <c r="E162" i="20"/>
  <c r="D162" i="20"/>
  <c r="G161" i="20"/>
  <c r="G160" i="20"/>
  <c r="G159" i="20"/>
  <c r="G158" i="20"/>
  <c r="G157" i="20"/>
  <c r="G162" i="20" s="1"/>
  <c r="G155" i="20"/>
  <c r="N151" i="20"/>
  <c r="M151" i="20"/>
  <c r="L151" i="20"/>
  <c r="K151" i="20"/>
  <c r="J151" i="20"/>
  <c r="H151" i="20"/>
  <c r="G151" i="20"/>
  <c r="F151" i="20"/>
  <c r="E151" i="20"/>
  <c r="D151" i="20"/>
  <c r="I150" i="20"/>
  <c r="I149" i="20"/>
  <c r="I148" i="20"/>
  <c r="I147" i="20"/>
  <c r="I151" i="20" s="1"/>
  <c r="I146" i="20"/>
  <c r="I144" i="20"/>
  <c r="F137" i="20"/>
  <c r="E137" i="20"/>
  <c r="D137" i="20"/>
  <c r="G136" i="20"/>
  <c r="G135" i="20"/>
  <c r="G134" i="20"/>
  <c r="G133" i="20"/>
  <c r="G132" i="20"/>
  <c r="G137" i="20" s="1"/>
  <c r="L127" i="20"/>
  <c r="K127" i="20"/>
  <c r="I127" i="20"/>
  <c r="H127" i="20"/>
  <c r="G127" i="20"/>
  <c r="F127" i="20"/>
  <c r="E127" i="20"/>
  <c r="D127" i="20"/>
  <c r="L116" i="20"/>
  <c r="K116" i="20"/>
  <c r="I116" i="20"/>
  <c r="H116" i="20"/>
  <c r="G116" i="20"/>
  <c r="F116" i="20"/>
  <c r="E116" i="20"/>
  <c r="D116" i="20"/>
  <c r="M105" i="20"/>
  <c r="L105" i="20"/>
  <c r="K105" i="20"/>
  <c r="J105" i="20"/>
  <c r="I105" i="20"/>
  <c r="H105" i="20"/>
  <c r="G105" i="20"/>
  <c r="F105" i="20"/>
  <c r="E105" i="20"/>
  <c r="D105" i="20"/>
  <c r="K92" i="20"/>
  <c r="J92" i="20"/>
  <c r="I92" i="20"/>
  <c r="H92" i="20"/>
  <c r="G92" i="20"/>
  <c r="F92" i="20"/>
  <c r="E92" i="20"/>
  <c r="D92" i="20"/>
  <c r="O79" i="20"/>
  <c r="N79" i="20"/>
  <c r="M79" i="20"/>
  <c r="L79" i="20"/>
  <c r="K79" i="20"/>
  <c r="J79" i="20"/>
  <c r="I79" i="20"/>
  <c r="F79" i="20"/>
  <c r="E79" i="20"/>
  <c r="D79" i="20"/>
  <c r="G78" i="20"/>
  <c r="G77" i="20"/>
  <c r="G76" i="20"/>
  <c r="G75" i="20"/>
  <c r="G74" i="20"/>
  <c r="G72" i="20"/>
  <c r="G79" i="20" s="1"/>
  <c r="L69" i="20"/>
  <c r="K69" i="20"/>
  <c r="I69" i="20"/>
  <c r="H69" i="20"/>
  <c r="G69" i="20"/>
  <c r="F69" i="20"/>
  <c r="E69" i="20"/>
  <c r="D69" i="20"/>
  <c r="K58" i="20"/>
  <c r="J58" i="20"/>
  <c r="I58" i="20"/>
  <c r="H58" i="20"/>
  <c r="G58" i="20"/>
  <c r="F58" i="20"/>
  <c r="E58" i="20"/>
  <c r="D58" i="20"/>
  <c r="E47" i="20"/>
  <c r="D47" i="20"/>
  <c r="F35" i="20"/>
  <c r="E35" i="20"/>
  <c r="D35" i="20"/>
  <c r="G35" i="20" s="1"/>
  <c r="G34" i="20"/>
  <c r="G33" i="20"/>
  <c r="G32" i="20"/>
  <c r="G31" i="20"/>
  <c r="E31" i="20"/>
  <c r="G30" i="20"/>
  <c r="G28" i="20"/>
  <c r="O24" i="20"/>
  <c r="N24" i="20"/>
  <c r="M24" i="20"/>
  <c r="L24" i="20"/>
  <c r="K24" i="20"/>
  <c r="J24" i="20"/>
  <c r="I24" i="20"/>
  <c r="H24" i="20"/>
  <c r="G24" i="20"/>
  <c r="F24" i="20"/>
  <c r="E24" i="20"/>
  <c r="D24" i="20"/>
  <c r="G23" i="20"/>
  <c r="G22" i="20"/>
  <c r="G21" i="20"/>
  <c r="G20" i="20"/>
  <c r="G19" i="20"/>
  <c r="G18" i="20"/>
  <c r="G17" i="20"/>
  <c r="F219" i="20" l="1"/>
  <c r="G181" i="20"/>
  <c r="G185" i="20" s="1"/>
  <c r="I219" i="16" l="1"/>
  <c r="H219" i="16"/>
  <c r="G219" i="16"/>
  <c r="F219" i="16"/>
  <c r="E219" i="16"/>
  <c r="D219" i="16"/>
  <c r="L209" i="16"/>
  <c r="K209" i="16"/>
  <c r="J209" i="16"/>
  <c r="I209" i="16"/>
  <c r="H209" i="16"/>
  <c r="G209" i="16"/>
  <c r="F209" i="16"/>
  <c r="E209" i="16"/>
  <c r="D209" i="16"/>
  <c r="L196" i="16"/>
  <c r="K196" i="16"/>
  <c r="J196" i="16"/>
  <c r="I196" i="16"/>
  <c r="H196" i="16"/>
  <c r="F196" i="16"/>
  <c r="E196" i="16"/>
  <c r="D196" i="16"/>
  <c r="G195" i="16"/>
  <c r="G194" i="16"/>
  <c r="G193" i="16"/>
  <c r="G192" i="16"/>
  <c r="G191" i="16"/>
  <c r="G190" i="16"/>
  <c r="G189" i="16"/>
  <c r="G196" i="16" s="1"/>
  <c r="O185" i="16"/>
  <c r="N185" i="16"/>
  <c r="M185" i="16"/>
  <c r="L185" i="16"/>
  <c r="K185" i="16"/>
  <c r="J185" i="16"/>
  <c r="I185" i="16"/>
  <c r="H185" i="16"/>
  <c r="F185" i="16"/>
  <c r="E185" i="16"/>
  <c r="D185" i="16"/>
  <c r="G184" i="16"/>
  <c r="G183" i="16"/>
  <c r="G182" i="16"/>
  <c r="G181" i="16"/>
  <c r="G180" i="16"/>
  <c r="G185" i="16" s="1"/>
  <c r="G179" i="16"/>
  <c r="G178" i="16"/>
  <c r="I172" i="16"/>
  <c r="H172" i="16"/>
  <c r="G172" i="16"/>
  <c r="F172" i="16"/>
  <c r="E172" i="16"/>
  <c r="D172" i="16"/>
  <c r="K171" i="16"/>
  <c r="J171" i="16"/>
  <c r="K170" i="16"/>
  <c r="J170" i="16"/>
  <c r="K169" i="16"/>
  <c r="J169" i="16"/>
  <c r="K168" i="16"/>
  <c r="J168" i="16"/>
  <c r="K167" i="16"/>
  <c r="J167" i="16"/>
  <c r="K166" i="16"/>
  <c r="J166" i="16"/>
  <c r="K165" i="16"/>
  <c r="K172" i="16" s="1"/>
  <c r="J165" i="16"/>
  <c r="J172" i="16" s="1"/>
  <c r="J162" i="16"/>
  <c r="I162" i="16"/>
  <c r="H162" i="16"/>
  <c r="F162" i="16"/>
  <c r="E162" i="16"/>
  <c r="D162" i="16"/>
  <c r="G161" i="16"/>
  <c r="G160" i="16"/>
  <c r="G159" i="16"/>
  <c r="G158" i="16"/>
  <c r="G157" i="16"/>
  <c r="G162" i="16" s="1"/>
  <c r="G156" i="16"/>
  <c r="G155" i="16"/>
  <c r="N151" i="16"/>
  <c r="M151" i="16"/>
  <c r="L151" i="16"/>
  <c r="K151" i="16"/>
  <c r="J151" i="16"/>
  <c r="H151" i="16"/>
  <c r="G151" i="16"/>
  <c r="F151" i="16"/>
  <c r="E151" i="16"/>
  <c r="D151" i="16"/>
  <c r="I150" i="16"/>
  <c r="I149" i="16"/>
  <c r="I148" i="16"/>
  <c r="I147" i="16"/>
  <c r="I146" i="16"/>
  <c r="I145" i="16"/>
  <c r="I144" i="16"/>
  <c r="I151" i="16" s="1"/>
  <c r="F137" i="16"/>
  <c r="E137" i="16"/>
  <c r="D137" i="16"/>
  <c r="G136" i="16"/>
  <c r="G135" i="16"/>
  <c r="G134" i="16"/>
  <c r="G133" i="16"/>
  <c r="G132" i="16"/>
  <c r="G131" i="16"/>
  <c r="G137" i="16" s="1"/>
  <c r="L127" i="16"/>
  <c r="K127" i="16"/>
  <c r="I127" i="16"/>
  <c r="H127" i="16"/>
  <c r="G127" i="16"/>
  <c r="F127" i="16"/>
  <c r="E127" i="16"/>
  <c r="D127" i="16"/>
  <c r="L116" i="16"/>
  <c r="K116" i="16"/>
  <c r="I116" i="16"/>
  <c r="H116" i="16"/>
  <c r="G116" i="16"/>
  <c r="F116" i="16"/>
  <c r="E116" i="16"/>
  <c r="D116" i="16"/>
  <c r="M105" i="16"/>
  <c r="L105" i="16"/>
  <c r="K105" i="16"/>
  <c r="J105" i="16"/>
  <c r="I105" i="16"/>
  <c r="H105" i="16"/>
  <c r="G105" i="16"/>
  <c r="F105" i="16"/>
  <c r="E105" i="16"/>
  <c r="D105" i="16"/>
  <c r="K92" i="16"/>
  <c r="J92" i="16"/>
  <c r="I92" i="16"/>
  <c r="H92" i="16"/>
  <c r="G92" i="16"/>
  <c r="F92" i="16"/>
  <c r="E92" i="16"/>
  <c r="D92" i="16"/>
  <c r="O79" i="16"/>
  <c r="N79" i="16"/>
  <c r="M79" i="16"/>
  <c r="L79" i="16"/>
  <c r="K79" i="16"/>
  <c r="J79" i="16"/>
  <c r="I79" i="16"/>
  <c r="F79" i="16"/>
  <c r="E79" i="16"/>
  <c r="D79" i="16"/>
  <c r="G78" i="16"/>
  <c r="G77" i="16"/>
  <c r="G76" i="16"/>
  <c r="G75" i="16"/>
  <c r="G74" i="16"/>
  <c r="G79" i="16" s="1"/>
  <c r="G73" i="16"/>
  <c r="G72" i="16"/>
  <c r="L69" i="16"/>
  <c r="K69" i="16"/>
  <c r="I69" i="16"/>
  <c r="H69" i="16"/>
  <c r="G69" i="16"/>
  <c r="F69" i="16"/>
  <c r="E69" i="16"/>
  <c r="D69" i="16"/>
  <c r="K58" i="16"/>
  <c r="J58" i="16"/>
  <c r="I58" i="16"/>
  <c r="H58" i="16"/>
  <c r="G58" i="16"/>
  <c r="F58" i="16"/>
  <c r="E58" i="16"/>
  <c r="D58" i="16"/>
  <c r="E47" i="16"/>
  <c r="D47" i="16"/>
  <c r="F35" i="16"/>
  <c r="E35" i="16"/>
  <c r="D35" i="16"/>
  <c r="G35" i="16" s="1"/>
  <c r="G34" i="16"/>
  <c r="G33" i="16"/>
  <c r="G32" i="16"/>
  <c r="G31" i="16"/>
  <c r="G30" i="16"/>
  <c r="G29" i="16"/>
  <c r="G28" i="16"/>
  <c r="O24" i="16"/>
  <c r="N24" i="16"/>
  <c r="M24" i="16"/>
  <c r="L24" i="16"/>
  <c r="K24" i="16"/>
  <c r="J24" i="16"/>
  <c r="I24" i="16"/>
  <c r="H24" i="16"/>
  <c r="G24" i="16"/>
  <c r="F24" i="16"/>
  <c r="E24" i="16"/>
  <c r="D24" i="16"/>
  <c r="G23" i="16"/>
  <c r="G22" i="16"/>
  <c r="G21" i="16"/>
  <c r="G20" i="16"/>
  <c r="G19" i="16"/>
  <c r="G18" i="16"/>
  <c r="G17" i="16"/>
  <c r="I219" i="15" l="1"/>
  <c r="H219" i="15"/>
  <c r="G219" i="15"/>
  <c r="F219" i="15"/>
  <c r="D219" i="15"/>
  <c r="F218" i="15"/>
  <c r="E218" i="15"/>
  <c r="E219" i="15" s="1"/>
  <c r="L209" i="15"/>
  <c r="K209" i="15"/>
  <c r="J209" i="15"/>
  <c r="I209" i="15"/>
  <c r="H209" i="15"/>
  <c r="G209" i="15"/>
  <c r="F209" i="15"/>
  <c r="E209" i="15"/>
  <c r="D209" i="15"/>
  <c r="J196" i="15"/>
  <c r="H196" i="15"/>
  <c r="F196" i="15"/>
  <c r="G195" i="15"/>
  <c r="G194" i="15"/>
  <c r="G193" i="15"/>
  <c r="L192" i="15"/>
  <c r="K192" i="15"/>
  <c r="K196" i="15" s="1"/>
  <c r="I192" i="15"/>
  <c r="I196" i="15" s="1"/>
  <c r="G192" i="15"/>
  <c r="E192" i="15"/>
  <c r="E196" i="15" s="1"/>
  <c r="G191" i="15"/>
  <c r="L191" i="15" s="1"/>
  <c r="D191" i="15"/>
  <c r="D196" i="15" s="1"/>
  <c r="L190" i="15"/>
  <c r="L196" i="15" s="1"/>
  <c r="G190" i="15"/>
  <c r="G189" i="15"/>
  <c r="G196" i="15" s="1"/>
  <c r="O185" i="15"/>
  <c r="N185" i="15"/>
  <c r="M185" i="15"/>
  <c r="L185" i="15"/>
  <c r="K185" i="15"/>
  <c r="I185" i="15"/>
  <c r="H185" i="15"/>
  <c r="F185" i="15"/>
  <c r="E185" i="15"/>
  <c r="G184" i="15"/>
  <c r="G183" i="15"/>
  <c r="G182" i="15"/>
  <c r="J181" i="15"/>
  <c r="J185" i="15" s="1"/>
  <c r="G181" i="15"/>
  <c r="L180" i="15"/>
  <c r="D180" i="15"/>
  <c r="G180" i="15" s="1"/>
  <c r="G179" i="15"/>
  <c r="G178" i="15"/>
  <c r="G185" i="15" s="1"/>
  <c r="I172" i="15"/>
  <c r="H172" i="15"/>
  <c r="G172" i="15"/>
  <c r="F172" i="15"/>
  <c r="E172" i="15"/>
  <c r="D172" i="15"/>
  <c r="K171" i="15"/>
  <c r="J171" i="15"/>
  <c r="K170" i="15"/>
  <c r="J170" i="15"/>
  <c r="K169" i="15"/>
  <c r="J169" i="15"/>
  <c r="K168" i="15"/>
  <c r="J168" i="15"/>
  <c r="K167" i="15"/>
  <c r="J167" i="15"/>
  <c r="K166" i="15"/>
  <c r="J166" i="15"/>
  <c r="K165" i="15"/>
  <c r="K172" i="15" s="1"/>
  <c r="J165" i="15"/>
  <c r="J172" i="15" s="1"/>
  <c r="J162" i="15"/>
  <c r="I162" i="15"/>
  <c r="H162" i="15"/>
  <c r="F162" i="15"/>
  <c r="E162" i="15"/>
  <c r="D162" i="15"/>
  <c r="G161" i="15"/>
  <c r="G160" i="15"/>
  <c r="G159" i="15"/>
  <c r="G158" i="15"/>
  <c r="G157" i="15"/>
  <c r="G162" i="15" s="1"/>
  <c r="G156" i="15"/>
  <c r="G155" i="15"/>
  <c r="N151" i="15"/>
  <c r="M151" i="15"/>
  <c r="L151" i="15"/>
  <c r="K151" i="15"/>
  <c r="J151" i="15"/>
  <c r="H151" i="15"/>
  <c r="G151" i="15"/>
  <c r="F151" i="15"/>
  <c r="E151" i="15"/>
  <c r="D151" i="15"/>
  <c r="I150" i="15"/>
  <c r="I149" i="15"/>
  <c r="I148" i="15"/>
  <c r="I147" i="15"/>
  <c r="I146" i="15"/>
  <c r="I145" i="15"/>
  <c r="I144" i="15"/>
  <c r="I151" i="15" s="1"/>
  <c r="F138" i="15"/>
  <c r="E138" i="15"/>
  <c r="D138" i="15"/>
  <c r="G137" i="15"/>
  <c r="G136" i="15"/>
  <c r="G135" i="15"/>
  <c r="G134" i="15"/>
  <c r="G133" i="15"/>
  <c r="G131" i="15"/>
  <c r="G138" i="15" s="1"/>
  <c r="L127" i="15"/>
  <c r="K127" i="15"/>
  <c r="I127" i="15"/>
  <c r="H127" i="15"/>
  <c r="G127" i="15"/>
  <c r="F127" i="15"/>
  <c r="E127" i="15"/>
  <c r="D127" i="15"/>
  <c r="L116" i="15"/>
  <c r="K116" i="15"/>
  <c r="I116" i="15"/>
  <c r="H116" i="15"/>
  <c r="G116" i="15"/>
  <c r="F116" i="15"/>
  <c r="E116" i="15"/>
  <c r="D116" i="15"/>
  <c r="M105" i="15"/>
  <c r="L105" i="15"/>
  <c r="K105" i="15"/>
  <c r="J105" i="15"/>
  <c r="I105" i="15"/>
  <c r="H105" i="15"/>
  <c r="G105" i="15"/>
  <c r="F105" i="15"/>
  <c r="E105" i="15"/>
  <c r="D105" i="15"/>
  <c r="K92" i="15"/>
  <c r="J92" i="15"/>
  <c r="I92" i="15"/>
  <c r="H92" i="15"/>
  <c r="G92" i="15"/>
  <c r="F92" i="15"/>
  <c r="E92" i="15"/>
  <c r="D92" i="15"/>
  <c r="O79" i="15"/>
  <c r="N79" i="15"/>
  <c r="M79" i="15"/>
  <c r="L79" i="15"/>
  <c r="K79" i="15"/>
  <c r="J79" i="15"/>
  <c r="I79" i="15"/>
  <c r="F79" i="15"/>
  <c r="E79" i="15"/>
  <c r="D79" i="15"/>
  <c r="G78" i="15"/>
  <c r="G77" i="15"/>
  <c r="G76" i="15"/>
  <c r="G75" i="15"/>
  <c r="G74" i="15"/>
  <c r="G79" i="15" s="1"/>
  <c r="G73" i="15"/>
  <c r="G72" i="15"/>
  <c r="L69" i="15"/>
  <c r="K69" i="15"/>
  <c r="I69" i="15"/>
  <c r="H69" i="15"/>
  <c r="G69" i="15"/>
  <c r="F69" i="15"/>
  <c r="E69" i="15"/>
  <c r="D69" i="15"/>
  <c r="K58" i="15"/>
  <c r="J58" i="15"/>
  <c r="I58" i="15"/>
  <c r="H58" i="15"/>
  <c r="G58" i="15"/>
  <c r="F58" i="15"/>
  <c r="E58" i="15"/>
  <c r="D58" i="15"/>
  <c r="E47" i="15"/>
  <c r="D47" i="15"/>
  <c r="F35" i="15"/>
  <c r="E35" i="15"/>
  <c r="G34" i="15"/>
  <c r="G33" i="15"/>
  <c r="G32" i="15"/>
  <c r="G31" i="15"/>
  <c r="G30" i="15"/>
  <c r="D30" i="15"/>
  <c r="D35" i="15" s="1"/>
  <c r="G35" i="15" s="1"/>
  <c r="G29" i="15"/>
  <c r="G28" i="15"/>
  <c r="O24" i="15"/>
  <c r="N24" i="15"/>
  <c r="M24" i="15"/>
  <c r="L24" i="15"/>
  <c r="J24" i="15"/>
  <c r="I24" i="15"/>
  <c r="H24" i="15"/>
  <c r="F24" i="15"/>
  <c r="E24" i="15"/>
  <c r="D24" i="15"/>
  <c r="G24" i="15" s="1"/>
  <c r="G23" i="15"/>
  <c r="G22" i="15"/>
  <c r="G21" i="15"/>
  <c r="G20" i="15"/>
  <c r="K19" i="15"/>
  <c r="K24" i="15" s="1"/>
  <c r="G19" i="15"/>
  <c r="D19" i="15"/>
  <c r="G18" i="15"/>
  <c r="G17" i="15"/>
  <c r="D185" i="15" l="1"/>
  <c r="I219" i="14" l="1"/>
  <c r="H219" i="14"/>
  <c r="G219" i="14"/>
  <c r="F219" i="14"/>
  <c r="E219" i="14"/>
  <c r="D219" i="14"/>
  <c r="F213" i="14"/>
  <c r="E213" i="14"/>
  <c r="D213" i="14"/>
  <c r="L209" i="14"/>
  <c r="K209" i="14"/>
  <c r="J209" i="14"/>
  <c r="I209" i="14"/>
  <c r="H209" i="14"/>
  <c r="G209" i="14"/>
  <c r="F209" i="14"/>
  <c r="E209" i="14"/>
  <c r="D209" i="14"/>
  <c r="L196" i="14"/>
  <c r="K196" i="14"/>
  <c r="J196" i="14"/>
  <c r="I196" i="14"/>
  <c r="H196" i="14"/>
  <c r="F196" i="14"/>
  <c r="E196" i="14"/>
  <c r="D196" i="14"/>
  <c r="G195" i="14"/>
  <c r="G194" i="14"/>
  <c r="G193" i="14"/>
  <c r="G192" i="14"/>
  <c r="G191" i="14"/>
  <c r="G196" i="14" s="1"/>
  <c r="G190" i="14"/>
  <c r="G189" i="14"/>
  <c r="O185" i="14"/>
  <c r="N185" i="14"/>
  <c r="M185" i="14"/>
  <c r="L185" i="14"/>
  <c r="K185" i="14"/>
  <c r="J185" i="14"/>
  <c r="I185" i="14"/>
  <c r="H185" i="14"/>
  <c r="F185" i="14"/>
  <c r="E185" i="14"/>
  <c r="D185" i="14"/>
  <c r="G184" i="14"/>
  <c r="G183" i="14"/>
  <c r="G182" i="14"/>
  <c r="G181" i="14"/>
  <c r="G180" i="14"/>
  <c r="G179" i="14"/>
  <c r="G178" i="14"/>
  <c r="G185" i="14" s="1"/>
  <c r="I172" i="14"/>
  <c r="H172" i="14"/>
  <c r="G172" i="14"/>
  <c r="F172" i="14"/>
  <c r="E172" i="14"/>
  <c r="D172" i="14"/>
  <c r="K171" i="14"/>
  <c r="J171" i="14"/>
  <c r="K170" i="14"/>
  <c r="J170" i="14"/>
  <c r="K169" i="14"/>
  <c r="J169" i="14"/>
  <c r="K168" i="14"/>
  <c r="J168" i="14"/>
  <c r="K167" i="14"/>
  <c r="J167" i="14"/>
  <c r="K166" i="14"/>
  <c r="J166" i="14"/>
  <c r="K165" i="14"/>
  <c r="K172" i="14" s="1"/>
  <c r="J165" i="14"/>
  <c r="J172" i="14" s="1"/>
  <c r="J162" i="14"/>
  <c r="I162" i="14"/>
  <c r="H162" i="14"/>
  <c r="F162" i="14"/>
  <c r="E162" i="14"/>
  <c r="D162" i="14"/>
  <c r="G161" i="14"/>
  <c r="G160" i="14"/>
  <c r="G159" i="14"/>
  <c r="G158" i="14"/>
  <c r="G157" i="14"/>
  <c r="G156" i="14"/>
  <c r="G155" i="14"/>
  <c r="G162" i="14" s="1"/>
  <c r="N151" i="14"/>
  <c r="M151" i="14"/>
  <c r="L151" i="14"/>
  <c r="K151" i="14"/>
  <c r="J151" i="14"/>
  <c r="H151" i="14"/>
  <c r="G151" i="14"/>
  <c r="F151" i="14"/>
  <c r="E151" i="14"/>
  <c r="D151" i="14"/>
  <c r="I150" i="14"/>
  <c r="I149" i="14"/>
  <c r="I148" i="14"/>
  <c r="I147" i="14"/>
  <c r="I146" i="14"/>
  <c r="I145" i="14"/>
  <c r="I144" i="14"/>
  <c r="I151" i="14" s="1"/>
  <c r="F137" i="14"/>
  <c r="E137" i="14"/>
  <c r="D137" i="14"/>
  <c r="G136" i="14"/>
  <c r="G135" i="14"/>
  <c r="G134" i="14"/>
  <c r="G133" i="14"/>
  <c r="G132" i="14"/>
  <c r="G137" i="14" s="1"/>
  <c r="G131" i="14"/>
  <c r="L127" i="14"/>
  <c r="K127" i="14"/>
  <c r="I127" i="14"/>
  <c r="H127" i="14"/>
  <c r="G127" i="14"/>
  <c r="F127" i="14"/>
  <c r="E127" i="14"/>
  <c r="D127" i="14"/>
  <c r="L116" i="14"/>
  <c r="K116" i="14"/>
  <c r="I116" i="14"/>
  <c r="H116" i="14"/>
  <c r="G116" i="14"/>
  <c r="F116" i="14"/>
  <c r="E116" i="14"/>
  <c r="D116" i="14"/>
  <c r="M105" i="14"/>
  <c r="L105" i="14"/>
  <c r="K105" i="14"/>
  <c r="J105" i="14"/>
  <c r="I105" i="14"/>
  <c r="H105" i="14"/>
  <c r="G105" i="14"/>
  <c r="F105" i="14"/>
  <c r="E105" i="14"/>
  <c r="D105" i="14"/>
  <c r="K92" i="14"/>
  <c r="J92" i="14"/>
  <c r="I92" i="14"/>
  <c r="H92" i="14"/>
  <c r="G92" i="14"/>
  <c r="F92" i="14"/>
  <c r="E92" i="14"/>
  <c r="D92" i="14"/>
  <c r="O79" i="14"/>
  <c r="N79" i="14"/>
  <c r="M79" i="14"/>
  <c r="L79" i="14"/>
  <c r="K79" i="14"/>
  <c r="J79" i="14"/>
  <c r="I79" i="14"/>
  <c r="F79" i="14"/>
  <c r="E79" i="14"/>
  <c r="D79" i="14"/>
  <c r="G78" i="14"/>
  <c r="G77" i="14"/>
  <c r="G76" i="14"/>
  <c r="G75" i="14"/>
  <c r="G74" i="14"/>
  <c r="G73" i="14"/>
  <c r="G72" i="14"/>
  <c r="G79" i="14" s="1"/>
  <c r="L69" i="14"/>
  <c r="K69" i="14"/>
  <c r="I69" i="14"/>
  <c r="H69" i="14"/>
  <c r="G69" i="14"/>
  <c r="F69" i="14"/>
  <c r="E69" i="14"/>
  <c r="D69" i="14"/>
  <c r="K58" i="14"/>
  <c r="J58" i="14"/>
  <c r="I58" i="14"/>
  <c r="H58" i="14"/>
  <c r="G58" i="14"/>
  <c r="F58" i="14"/>
  <c r="E58" i="14"/>
  <c r="D58" i="14"/>
  <c r="E47" i="14"/>
  <c r="D47" i="14"/>
  <c r="G35" i="14"/>
  <c r="F35" i="14"/>
  <c r="E35" i="14"/>
  <c r="D35" i="14"/>
  <c r="G34" i="14"/>
  <c r="G33" i="14"/>
  <c r="G32" i="14"/>
  <c r="G31" i="14"/>
  <c r="G30" i="14"/>
  <c r="G29" i="14"/>
  <c r="G28" i="14"/>
  <c r="O24" i="14"/>
  <c r="N24" i="14"/>
  <c r="M24" i="14"/>
  <c r="L24" i="14"/>
  <c r="K24" i="14"/>
  <c r="J24" i="14"/>
  <c r="I24" i="14"/>
  <c r="H24" i="14"/>
  <c r="F24" i="14"/>
  <c r="E24" i="14"/>
  <c r="D24" i="14"/>
  <c r="G24" i="14" s="1"/>
  <c r="G23" i="14"/>
  <c r="G22" i="14"/>
  <c r="G21" i="14"/>
  <c r="G20" i="14"/>
  <c r="G19" i="14"/>
  <c r="G18" i="14"/>
  <c r="G17" i="14"/>
  <c r="F219" i="12" l="1"/>
  <c r="E219" i="12"/>
  <c r="D219" i="12"/>
  <c r="L196" i="12"/>
  <c r="K196" i="12"/>
  <c r="J196" i="12"/>
  <c r="I196" i="12"/>
  <c r="H196" i="12"/>
  <c r="F196" i="12"/>
  <c r="E196" i="12"/>
  <c r="D196" i="12"/>
  <c r="G191" i="12"/>
  <c r="G196" i="12" s="1"/>
  <c r="O185" i="12"/>
  <c r="N185" i="12"/>
  <c r="M185" i="12"/>
  <c r="L185" i="12"/>
  <c r="K185" i="12"/>
  <c r="J185" i="12"/>
  <c r="I185" i="12"/>
  <c r="H185" i="12"/>
  <c r="F185" i="12"/>
  <c r="E185" i="12"/>
  <c r="D185" i="12"/>
  <c r="G180" i="12"/>
  <c r="G185" i="12" s="1"/>
  <c r="G179" i="12"/>
  <c r="D137" i="12"/>
  <c r="G132" i="12"/>
  <c r="G137" i="12" s="1"/>
  <c r="G131" i="12"/>
  <c r="M105" i="12"/>
  <c r="E105" i="12"/>
  <c r="D105" i="12"/>
  <c r="O79" i="12"/>
  <c r="N79" i="12"/>
  <c r="M79" i="12"/>
  <c r="L79" i="12"/>
  <c r="K79" i="12"/>
  <c r="J79" i="12"/>
  <c r="I79" i="12"/>
  <c r="H79" i="12"/>
  <c r="F79" i="12"/>
  <c r="E79" i="12"/>
  <c r="D79" i="12"/>
  <c r="G74" i="12"/>
  <c r="G73" i="12"/>
  <c r="G79" i="12" s="1"/>
  <c r="L69" i="12"/>
  <c r="K69" i="12"/>
  <c r="J69" i="12"/>
  <c r="I69" i="12"/>
  <c r="H69" i="12"/>
  <c r="G69" i="12"/>
  <c r="F69" i="12"/>
  <c r="E69" i="12"/>
  <c r="D69" i="12"/>
  <c r="E47" i="12"/>
  <c r="D47" i="12"/>
  <c r="F35" i="12"/>
  <c r="E35" i="12"/>
  <c r="D35" i="12"/>
  <c r="G30" i="12"/>
  <c r="G29" i="12"/>
  <c r="G35" i="12" s="1"/>
  <c r="O24" i="12"/>
  <c r="N24" i="12"/>
  <c r="M24" i="12"/>
  <c r="L24" i="12"/>
  <c r="K24" i="12"/>
  <c r="J24" i="12"/>
  <c r="I24" i="12"/>
  <c r="H24" i="12"/>
  <c r="F24" i="12"/>
  <c r="E24" i="12"/>
  <c r="D24" i="12"/>
  <c r="G19" i="12"/>
  <c r="G24" i="12" s="1"/>
  <c r="G18" i="12"/>
  <c r="I219" i="11" l="1"/>
  <c r="H219" i="11"/>
  <c r="G219" i="11"/>
  <c r="F219" i="11"/>
  <c r="D219" i="11"/>
  <c r="E217" i="11"/>
  <c r="E216" i="11"/>
  <c r="E214" i="11"/>
  <c r="L209" i="11"/>
  <c r="K209" i="11"/>
  <c r="J209" i="11"/>
  <c r="I209" i="11"/>
  <c r="H209" i="11"/>
  <c r="G209" i="11"/>
  <c r="F209" i="11"/>
  <c r="E209" i="11"/>
  <c r="D209" i="11"/>
  <c r="K196" i="11"/>
  <c r="H196" i="11"/>
  <c r="F196" i="11"/>
  <c r="E196" i="11"/>
  <c r="G195" i="11"/>
  <c r="G194" i="11"/>
  <c r="G193" i="11"/>
  <c r="L192" i="11"/>
  <c r="J192" i="11"/>
  <c r="J196" i="11" s="1"/>
  <c r="I192" i="11"/>
  <c r="G192" i="11"/>
  <c r="L191" i="11"/>
  <c r="L196" i="11" s="1"/>
  <c r="I191" i="11"/>
  <c r="D191" i="11"/>
  <c r="D196" i="11" s="1"/>
  <c r="G190" i="11"/>
  <c r="G189" i="11"/>
  <c r="N185" i="11"/>
  <c r="K185" i="11"/>
  <c r="J185" i="11"/>
  <c r="F185" i="11"/>
  <c r="E185" i="11"/>
  <c r="G184" i="11"/>
  <c r="G183" i="11"/>
  <c r="G182" i="11"/>
  <c r="M181" i="11"/>
  <c r="L181" i="11"/>
  <c r="L185" i="11" s="1"/>
  <c r="I181" i="11"/>
  <c r="I185" i="11" s="1"/>
  <c r="G181" i="11"/>
  <c r="O180" i="11"/>
  <c r="O185" i="11" s="1"/>
  <c r="M180" i="11"/>
  <c r="H180" i="11"/>
  <c r="H185" i="11" s="1"/>
  <c r="D180" i="11"/>
  <c r="G180" i="11" s="1"/>
  <c r="G179" i="11"/>
  <c r="G178" i="11"/>
  <c r="I172" i="11"/>
  <c r="H172" i="11"/>
  <c r="G172" i="11"/>
  <c r="F172" i="11"/>
  <c r="E172" i="11"/>
  <c r="D172" i="11"/>
  <c r="K171" i="11"/>
  <c r="J171" i="11"/>
  <c r="K170" i="11"/>
  <c r="J170" i="11"/>
  <c r="K169" i="11"/>
  <c r="J169" i="11"/>
  <c r="K167" i="11"/>
  <c r="J167" i="11"/>
  <c r="K166" i="11"/>
  <c r="J166" i="11"/>
  <c r="K165" i="11"/>
  <c r="J165" i="11"/>
  <c r="J162" i="11"/>
  <c r="I162" i="11"/>
  <c r="H162" i="11"/>
  <c r="F162" i="11"/>
  <c r="E162" i="11"/>
  <c r="D162" i="11"/>
  <c r="G161" i="11"/>
  <c r="G160" i="11"/>
  <c r="G159" i="11"/>
  <c r="G157" i="11"/>
  <c r="G155" i="11"/>
  <c r="N151" i="11"/>
  <c r="M151" i="11"/>
  <c r="L151" i="11"/>
  <c r="K151" i="11"/>
  <c r="J151" i="11"/>
  <c r="H151" i="11"/>
  <c r="G151" i="11"/>
  <c r="F151" i="11"/>
  <c r="E151" i="11"/>
  <c r="D151" i="11"/>
  <c r="I150" i="11"/>
  <c r="I149" i="11"/>
  <c r="I148" i="11"/>
  <c r="I144" i="11"/>
  <c r="F137" i="11"/>
  <c r="E137" i="11"/>
  <c r="D137" i="11"/>
  <c r="G136" i="11"/>
  <c r="G135" i="11"/>
  <c r="G134" i="11"/>
  <c r="G133" i="11"/>
  <c r="G132" i="11"/>
  <c r="G131" i="11"/>
  <c r="L127" i="11"/>
  <c r="K127" i="11"/>
  <c r="I127" i="11"/>
  <c r="H127" i="11"/>
  <c r="G127" i="11"/>
  <c r="F127" i="11"/>
  <c r="E127" i="11"/>
  <c r="D127" i="11"/>
  <c r="L116" i="11"/>
  <c r="K116" i="11"/>
  <c r="I116" i="11"/>
  <c r="H116" i="11"/>
  <c r="G116" i="11"/>
  <c r="F116" i="11"/>
  <c r="E116" i="11"/>
  <c r="D116" i="11"/>
  <c r="M105" i="11"/>
  <c r="L105" i="11"/>
  <c r="K105" i="11"/>
  <c r="J105" i="11"/>
  <c r="I105" i="11"/>
  <c r="H105" i="11"/>
  <c r="G105" i="11"/>
  <c r="F105" i="11"/>
  <c r="D105" i="11"/>
  <c r="E100" i="11"/>
  <c r="E105" i="11" s="1"/>
  <c r="K92" i="11"/>
  <c r="J92" i="11"/>
  <c r="I92" i="11"/>
  <c r="H92" i="11"/>
  <c r="G92" i="11"/>
  <c r="F92" i="11"/>
  <c r="E92" i="11"/>
  <c r="D92" i="11"/>
  <c r="N79" i="11"/>
  <c r="M79" i="11"/>
  <c r="J79" i="11"/>
  <c r="F79" i="11"/>
  <c r="E79" i="11"/>
  <c r="G78" i="11"/>
  <c r="G77" i="11"/>
  <c r="G76" i="11"/>
  <c r="O75" i="11"/>
  <c r="L75" i="11"/>
  <c r="L79" i="11" s="1"/>
  <c r="K75" i="11"/>
  <c r="K79" i="11" s="1"/>
  <c r="I75" i="11"/>
  <c r="H75" i="11"/>
  <c r="D75" i="11"/>
  <c r="G75" i="11" s="1"/>
  <c r="O74" i="11"/>
  <c r="I74" i="11"/>
  <c r="I79" i="11" s="1"/>
  <c r="D74" i="11"/>
  <c r="G74" i="11" s="1"/>
  <c r="G72" i="11"/>
  <c r="K69" i="11"/>
  <c r="I69" i="11"/>
  <c r="H69" i="11"/>
  <c r="G69" i="11"/>
  <c r="F69" i="11"/>
  <c r="E69" i="11"/>
  <c r="L64" i="11"/>
  <c r="L69" i="11" s="1"/>
  <c r="K58" i="11"/>
  <c r="J58" i="11"/>
  <c r="I58" i="11"/>
  <c r="H58" i="11"/>
  <c r="G58" i="11"/>
  <c r="F58" i="11"/>
  <c r="E58" i="11"/>
  <c r="D58" i="11"/>
  <c r="E47" i="11"/>
  <c r="D47" i="11"/>
  <c r="E35" i="11"/>
  <c r="G34" i="11"/>
  <c r="G33" i="11"/>
  <c r="G32" i="11"/>
  <c r="G31" i="11"/>
  <c r="F30" i="11"/>
  <c r="D30" i="11"/>
  <c r="D35" i="11" s="1"/>
  <c r="G29" i="11"/>
  <c r="G28" i="11"/>
  <c r="N24" i="11"/>
  <c r="M24" i="11"/>
  <c r="J24" i="11"/>
  <c r="H24" i="11"/>
  <c r="F24" i="11"/>
  <c r="E24" i="11"/>
  <c r="D24" i="11"/>
  <c r="G23" i="11"/>
  <c r="G22" i="11"/>
  <c r="G21" i="11"/>
  <c r="G20" i="11"/>
  <c r="O19" i="11"/>
  <c r="O24" i="11" s="1"/>
  <c r="L19" i="11"/>
  <c r="L24" i="11" s="1"/>
  <c r="K19" i="11"/>
  <c r="K24" i="11" s="1"/>
  <c r="I19" i="11"/>
  <c r="I24" i="11" s="1"/>
  <c r="G19" i="11"/>
  <c r="G18" i="11"/>
  <c r="G17" i="11"/>
  <c r="G79" i="11" l="1"/>
  <c r="G185" i="11"/>
  <c r="M185" i="11"/>
  <c r="D79" i="11"/>
  <c r="G24" i="11"/>
  <c r="I196" i="11"/>
  <c r="D64" i="11"/>
  <c r="D69" i="11" s="1"/>
  <c r="G30" i="11"/>
  <c r="G162" i="11"/>
  <c r="K172" i="11"/>
  <c r="E219" i="11"/>
  <c r="O79" i="11"/>
  <c r="G137" i="11"/>
  <c r="I151" i="11"/>
  <c r="J172" i="11"/>
  <c r="D185" i="11"/>
  <c r="F35" i="11"/>
  <c r="G35" i="11" s="1"/>
  <c r="G191" i="11"/>
  <c r="G196" i="11" s="1"/>
  <c r="I219" i="10" l="1"/>
  <c r="H219" i="10"/>
  <c r="G219" i="10"/>
  <c r="F219" i="10"/>
  <c r="E219" i="10"/>
  <c r="D219" i="10"/>
  <c r="F213" i="10"/>
  <c r="E213" i="10"/>
  <c r="D213" i="10"/>
  <c r="L209" i="10"/>
  <c r="K209" i="10"/>
  <c r="J209" i="10"/>
  <c r="I209" i="10"/>
  <c r="H209" i="10"/>
  <c r="G209" i="10"/>
  <c r="F209" i="10"/>
  <c r="E209" i="10"/>
  <c r="D209" i="10"/>
  <c r="L196" i="10"/>
  <c r="K196" i="10"/>
  <c r="J196" i="10"/>
  <c r="I196" i="10"/>
  <c r="H196" i="10"/>
  <c r="F196" i="10"/>
  <c r="E196" i="10"/>
  <c r="D196" i="10"/>
  <c r="G195" i="10"/>
  <c r="G194" i="10"/>
  <c r="G193" i="10"/>
  <c r="G192" i="10"/>
  <c r="G191" i="10"/>
  <c r="G190" i="10"/>
  <c r="G189" i="10"/>
  <c r="G196" i="10" s="1"/>
  <c r="O185" i="10"/>
  <c r="N185" i="10"/>
  <c r="M185" i="10"/>
  <c r="L185" i="10"/>
  <c r="K185" i="10"/>
  <c r="J185" i="10"/>
  <c r="I185" i="10"/>
  <c r="H185" i="10"/>
  <c r="F185" i="10"/>
  <c r="E185" i="10"/>
  <c r="D185" i="10"/>
  <c r="G184" i="10"/>
  <c r="G183" i="10"/>
  <c r="G182" i="10"/>
  <c r="G181" i="10"/>
  <c r="G180" i="10"/>
  <c r="G179" i="10"/>
  <c r="G178" i="10"/>
  <c r="G185" i="10" s="1"/>
  <c r="I172" i="10"/>
  <c r="H172" i="10"/>
  <c r="G172" i="10"/>
  <c r="F172" i="10"/>
  <c r="E172" i="10"/>
  <c r="D172" i="10"/>
  <c r="K171" i="10"/>
  <c r="J171" i="10"/>
  <c r="K170" i="10"/>
  <c r="J170" i="10"/>
  <c r="K169" i="10"/>
  <c r="J169" i="10"/>
  <c r="K168" i="10"/>
  <c r="J168" i="10"/>
  <c r="K167" i="10"/>
  <c r="J167" i="10"/>
  <c r="K166" i="10"/>
  <c r="J166" i="10"/>
  <c r="K165" i="10"/>
  <c r="K172" i="10" s="1"/>
  <c r="J165" i="10"/>
  <c r="J172" i="10" s="1"/>
  <c r="J162" i="10"/>
  <c r="I162" i="10"/>
  <c r="H162" i="10"/>
  <c r="F162" i="10"/>
  <c r="E162" i="10"/>
  <c r="D162" i="10"/>
  <c r="G161" i="10"/>
  <c r="G160" i="10"/>
  <c r="G159" i="10"/>
  <c r="G158" i="10"/>
  <c r="G157" i="10"/>
  <c r="G156" i="10"/>
  <c r="G155" i="10"/>
  <c r="G162" i="10" s="1"/>
  <c r="N151" i="10"/>
  <c r="M151" i="10"/>
  <c r="L151" i="10"/>
  <c r="K151" i="10"/>
  <c r="J151" i="10"/>
  <c r="H151" i="10"/>
  <c r="G151" i="10"/>
  <c r="F151" i="10"/>
  <c r="E151" i="10"/>
  <c r="D151" i="10"/>
  <c r="I150" i="10"/>
  <c r="I149" i="10"/>
  <c r="I148" i="10"/>
  <c r="I147" i="10"/>
  <c r="I146" i="10"/>
  <c r="I145" i="10"/>
  <c r="I144" i="10"/>
  <c r="I151" i="10" s="1"/>
  <c r="F137" i="10"/>
  <c r="E137" i="10"/>
  <c r="D137" i="10"/>
  <c r="G136" i="10"/>
  <c r="G135" i="10"/>
  <c r="G134" i="10"/>
  <c r="G133" i="10"/>
  <c r="G132" i="10"/>
  <c r="G131" i="10"/>
  <c r="G137" i="10" s="1"/>
  <c r="L127" i="10"/>
  <c r="K127" i="10"/>
  <c r="I127" i="10"/>
  <c r="H127" i="10"/>
  <c r="G127" i="10"/>
  <c r="F127" i="10"/>
  <c r="E127" i="10"/>
  <c r="D127" i="10"/>
  <c r="L116" i="10"/>
  <c r="K116" i="10"/>
  <c r="I116" i="10"/>
  <c r="H116" i="10"/>
  <c r="G116" i="10"/>
  <c r="F116" i="10"/>
  <c r="E116" i="10"/>
  <c r="D116" i="10"/>
  <c r="M105" i="10"/>
  <c r="L105" i="10"/>
  <c r="K105" i="10"/>
  <c r="J105" i="10"/>
  <c r="I105" i="10"/>
  <c r="H105" i="10"/>
  <c r="G105" i="10"/>
  <c r="F105" i="10"/>
  <c r="E105" i="10"/>
  <c r="D105" i="10"/>
  <c r="K92" i="10"/>
  <c r="J92" i="10"/>
  <c r="I92" i="10"/>
  <c r="H92" i="10"/>
  <c r="G92" i="10"/>
  <c r="F92" i="10"/>
  <c r="E92" i="10"/>
  <c r="D92" i="10"/>
  <c r="O79" i="10"/>
  <c r="N79" i="10"/>
  <c r="M79" i="10"/>
  <c r="L79" i="10"/>
  <c r="K79" i="10"/>
  <c r="J79" i="10"/>
  <c r="I79" i="10"/>
  <c r="F79" i="10"/>
  <c r="E79" i="10"/>
  <c r="D79" i="10"/>
  <c r="G78" i="10"/>
  <c r="G77" i="10"/>
  <c r="G76" i="10"/>
  <c r="G75" i="10"/>
  <c r="G74" i="10"/>
  <c r="G73" i="10"/>
  <c r="G72" i="10"/>
  <c r="G79" i="10" s="1"/>
  <c r="L69" i="10"/>
  <c r="K69" i="10"/>
  <c r="I69" i="10"/>
  <c r="H69" i="10"/>
  <c r="G69" i="10"/>
  <c r="F69" i="10"/>
  <c r="E69" i="10"/>
  <c r="D69" i="10"/>
  <c r="K58" i="10"/>
  <c r="J58" i="10"/>
  <c r="I58" i="10"/>
  <c r="H58" i="10"/>
  <c r="G58" i="10"/>
  <c r="F58" i="10"/>
  <c r="E58" i="10"/>
  <c r="D58" i="10"/>
  <c r="E47" i="10"/>
  <c r="D47" i="10"/>
  <c r="F35" i="10"/>
  <c r="E35" i="10"/>
  <c r="G35" i="10" s="1"/>
  <c r="D35" i="10"/>
  <c r="G34" i="10"/>
  <c r="G33" i="10"/>
  <c r="G32" i="10"/>
  <c r="G31" i="10"/>
  <c r="G30" i="10"/>
  <c r="G29" i="10"/>
  <c r="G28" i="10"/>
  <c r="O24" i="10"/>
  <c r="N24" i="10"/>
  <c r="M24" i="10"/>
  <c r="L24" i="10"/>
  <c r="K24" i="10"/>
  <c r="J24" i="10"/>
  <c r="I24" i="10"/>
  <c r="H24" i="10"/>
  <c r="F24" i="10"/>
  <c r="E24" i="10"/>
  <c r="D24" i="10"/>
  <c r="G24" i="10" s="1"/>
  <c r="G23" i="10"/>
  <c r="G22" i="10"/>
  <c r="G21" i="10"/>
  <c r="G20" i="10"/>
  <c r="G19" i="10"/>
  <c r="G18" i="10"/>
  <c r="G17" i="10"/>
  <c r="I219" i="9" l="1"/>
  <c r="H219" i="9"/>
  <c r="G219" i="9"/>
  <c r="F219" i="9"/>
  <c r="E219" i="9"/>
  <c r="D219" i="9"/>
  <c r="F213" i="9"/>
  <c r="E213" i="9"/>
  <c r="D213" i="9"/>
  <c r="D222" i="9" s="1"/>
  <c r="L209" i="9"/>
  <c r="K209" i="9"/>
  <c r="J209" i="9"/>
  <c r="I209" i="9"/>
  <c r="H209" i="9"/>
  <c r="G209" i="9"/>
  <c r="F209" i="9"/>
  <c r="E209" i="9"/>
  <c r="D209" i="9"/>
  <c r="L196" i="9"/>
  <c r="K196" i="9"/>
  <c r="J196" i="9"/>
  <c r="I196" i="9"/>
  <c r="H196" i="9"/>
  <c r="F196" i="9"/>
  <c r="E196" i="9"/>
  <c r="D196" i="9"/>
  <c r="G195" i="9"/>
  <c r="G194" i="9"/>
  <c r="G193" i="9"/>
  <c r="G192" i="9"/>
  <c r="G191" i="9"/>
  <c r="G190" i="9"/>
  <c r="G189" i="9"/>
  <c r="G196" i="9" s="1"/>
  <c r="O185" i="9"/>
  <c r="N185" i="9"/>
  <c r="M185" i="9"/>
  <c r="L185" i="9"/>
  <c r="K185" i="9"/>
  <c r="J185" i="9"/>
  <c r="I185" i="9"/>
  <c r="H185" i="9"/>
  <c r="F185" i="9"/>
  <c r="E185" i="9"/>
  <c r="D185" i="9"/>
  <c r="G184" i="9"/>
  <c r="G183" i="9"/>
  <c r="G182" i="9"/>
  <c r="G181" i="9"/>
  <c r="G180" i="9"/>
  <c r="G185" i="9" s="1"/>
  <c r="G179" i="9"/>
  <c r="G178" i="9"/>
  <c r="I172" i="9"/>
  <c r="H172" i="9"/>
  <c r="G172" i="9"/>
  <c r="F172" i="9"/>
  <c r="E172" i="9"/>
  <c r="D172" i="9"/>
  <c r="K171" i="9"/>
  <c r="J171" i="9"/>
  <c r="K170" i="9"/>
  <c r="J170" i="9"/>
  <c r="K169" i="9"/>
  <c r="J169" i="9"/>
  <c r="K168" i="9"/>
  <c r="J168" i="9"/>
  <c r="K167" i="9"/>
  <c r="J167" i="9"/>
  <c r="K166" i="9"/>
  <c r="J166" i="9"/>
  <c r="K165" i="9"/>
  <c r="K172" i="9" s="1"/>
  <c r="J165" i="9"/>
  <c r="J172" i="9" s="1"/>
  <c r="J162" i="9"/>
  <c r="I162" i="9"/>
  <c r="H162" i="9"/>
  <c r="F162" i="9"/>
  <c r="E162" i="9"/>
  <c r="D162" i="9"/>
  <c r="G161" i="9"/>
  <c r="G160" i="9"/>
  <c r="G159" i="9"/>
  <c r="G158" i="9"/>
  <c r="G157" i="9"/>
  <c r="G162" i="9" s="1"/>
  <c r="G156" i="9"/>
  <c r="G155" i="9"/>
  <c r="N151" i="9"/>
  <c r="M151" i="9"/>
  <c r="L151" i="9"/>
  <c r="K151" i="9"/>
  <c r="J151" i="9"/>
  <c r="H151" i="9"/>
  <c r="G151" i="9"/>
  <c r="F151" i="9"/>
  <c r="E151" i="9"/>
  <c r="D151" i="9"/>
  <c r="I150" i="9"/>
  <c r="I149" i="9"/>
  <c r="I148" i="9"/>
  <c r="I147" i="9"/>
  <c r="I146" i="9"/>
  <c r="I145" i="9"/>
  <c r="I144" i="9"/>
  <c r="I151" i="9" s="1"/>
  <c r="F137" i="9"/>
  <c r="E137" i="9"/>
  <c r="D137" i="9"/>
  <c r="G136" i="9"/>
  <c r="G135" i="9"/>
  <c r="G134" i="9"/>
  <c r="G133" i="9"/>
  <c r="G132" i="9"/>
  <c r="G131" i="9"/>
  <c r="G137" i="9" s="1"/>
  <c r="L127" i="9"/>
  <c r="K127" i="9"/>
  <c r="I127" i="9"/>
  <c r="H127" i="9"/>
  <c r="G127" i="9"/>
  <c r="F127" i="9"/>
  <c r="E127" i="9"/>
  <c r="D127" i="9"/>
  <c r="L116" i="9"/>
  <c r="K116" i="9"/>
  <c r="I116" i="9"/>
  <c r="H116" i="9"/>
  <c r="G116" i="9"/>
  <c r="F116" i="9"/>
  <c r="E116" i="9"/>
  <c r="D116" i="9"/>
  <c r="M105" i="9"/>
  <c r="L105" i="9"/>
  <c r="K105" i="9"/>
  <c r="J105" i="9"/>
  <c r="I105" i="9"/>
  <c r="H105" i="9"/>
  <c r="G105" i="9"/>
  <c r="F105" i="9"/>
  <c r="E105" i="9"/>
  <c r="D105" i="9"/>
  <c r="K92" i="9"/>
  <c r="J92" i="9"/>
  <c r="I92" i="9"/>
  <c r="H92" i="9"/>
  <c r="G92" i="9"/>
  <c r="F92" i="9"/>
  <c r="E92" i="9"/>
  <c r="D92" i="9"/>
  <c r="O79" i="9"/>
  <c r="N79" i="9"/>
  <c r="M79" i="9"/>
  <c r="L79" i="9"/>
  <c r="K79" i="9"/>
  <c r="J79" i="9"/>
  <c r="I79" i="9"/>
  <c r="F79" i="9"/>
  <c r="E79" i="9"/>
  <c r="D79" i="9"/>
  <c r="G78" i="9"/>
  <c r="G77" i="9"/>
  <c r="G76" i="9"/>
  <c r="G75" i="9"/>
  <c r="G74" i="9"/>
  <c r="G79" i="9" s="1"/>
  <c r="G73" i="9"/>
  <c r="G72" i="9"/>
  <c r="L69" i="9"/>
  <c r="K69" i="9"/>
  <c r="I69" i="9"/>
  <c r="H69" i="9"/>
  <c r="G69" i="9"/>
  <c r="F69" i="9"/>
  <c r="E69" i="9"/>
  <c r="D69" i="9"/>
  <c r="K58" i="9"/>
  <c r="J58" i="9"/>
  <c r="I58" i="9"/>
  <c r="H58" i="9"/>
  <c r="G58" i="9"/>
  <c r="F58" i="9"/>
  <c r="E58" i="9"/>
  <c r="D58" i="9"/>
  <c r="E47" i="9"/>
  <c r="D47" i="9"/>
  <c r="F35" i="9"/>
  <c r="E35" i="9"/>
  <c r="D35" i="9"/>
  <c r="G35" i="9" s="1"/>
  <c r="G34" i="9"/>
  <c r="G33" i="9"/>
  <c r="G32" i="9"/>
  <c r="G31" i="9"/>
  <c r="G30" i="9"/>
  <c r="G29" i="9"/>
  <c r="G28" i="9"/>
  <c r="O24" i="9"/>
  <c r="N24" i="9"/>
  <c r="M24" i="9"/>
  <c r="L24" i="9"/>
  <c r="K24" i="9"/>
  <c r="J24" i="9"/>
  <c r="I24" i="9"/>
  <c r="H24" i="9"/>
  <c r="G24" i="9"/>
  <c r="F24" i="9"/>
  <c r="E24" i="9"/>
  <c r="D24" i="9"/>
  <c r="G23" i="9"/>
  <c r="G22" i="9"/>
  <c r="G21" i="9"/>
  <c r="G20" i="9"/>
  <c r="G19" i="9"/>
  <c r="G18" i="9"/>
  <c r="G17" i="9"/>
  <c r="I219" i="8" l="1"/>
  <c r="H219" i="8"/>
  <c r="G219" i="8"/>
  <c r="F219" i="8"/>
  <c r="D219" i="8"/>
  <c r="F213" i="8"/>
  <c r="E213" i="8"/>
  <c r="E219" i="8" s="1"/>
  <c r="D213" i="8"/>
  <c r="L209" i="8"/>
  <c r="K209" i="8"/>
  <c r="J209" i="8"/>
  <c r="I209" i="8"/>
  <c r="H209" i="8"/>
  <c r="G209" i="8"/>
  <c r="F209" i="8"/>
  <c r="E209" i="8"/>
  <c r="D209" i="8"/>
  <c r="L196" i="8"/>
  <c r="K196" i="8"/>
  <c r="J196" i="8"/>
  <c r="I196" i="8"/>
  <c r="H196" i="8"/>
  <c r="F196" i="8"/>
  <c r="E196" i="8"/>
  <c r="D196" i="8"/>
  <c r="G195" i="8"/>
  <c r="G194" i="8"/>
  <c r="G193" i="8"/>
  <c r="G192" i="8"/>
  <c r="G191" i="8"/>
  <c r="G196" i="8" s="1"/>
  <c r="G190" i="8"/>
  <c r="G189" i="8"/>
  <c r="O185" i="8"/>
  <c r="N185" i="8"/>
  <c r="M185" i="8"/>
  <c r="L185" i="8"/>
  <c r="K185" i="8"/>
  <c r="J185" i="8"/>
  <c r="I185" i="8"/>
  <c r="H185" i="8"/>
  <c r="F185" i="8"/>
  <c r="E185" i="8"/>
  <c r="D185" i="8"/>
  <c r="G184" i="8"/>
  <c r="G183" i="8"/>
  <c r="G182" i="8"/>
  <c r="G181" i="8"/>
  <c r="G180" i="8"/>
  <c r="G179" i="8"/>
  <c r="G178" i="8"/>
  <c r="G185" i="8" s="1"/>
  <c r="I172" i="8"/>
  <c r="H172" i="8"/>
  <c r="G172" i="8"/>
  <c r="F172" i="8"/>
  <c r="E172" i="8"/>
  <c r="D172" i="8"/>
  <c r="K171" i="8"/>
  <c r="J171" i="8"/>
  <c r="K170" i="8"/>
  <c r="J170" i="8"/>
  <c r="K169" i="8"/>
  <c r="J169" i="8"/>
  <c r="K168" i="8"/>
  <c r="J168" i="8"/>
  <c r="K167" i="8"/>
  <c r="J167" i="8"/>
  <c r="K166" i="8"/>
  <c r="J166" i="8"/>
  <c r="K165" i="8"/>
  <c r="K172" i="8" s="1"/>
  <c r="J165" i="8"/>
  <c r="J172" i="8" s="1"/>
  <c r="J162" i="8"/>
  <c r="I162" i="8"/>
  <c r="H162" i="8"/>
  <c r="F162" i="8"/>
  <c r="E162" i="8"/>
  <c r="D162" i="8"/>
  <c r="G161" i="8"/>
  <c r="G160" i="8"/>
  <c r="G159" i="8"/>
  <c r="G158" i="8"/>
  <c r="G157" i="8"/>
  <c r="G156" i="8"/>
  <c r="G155" i="8"/>
  <c r="G162" i="8" s="1"/>
  <c r="N151" i="8"/>
  <c r="M151" i="8"/>
  <c r="L151" i="8"/>
  <c r="K151" i="8"/>
  <c r="J151" i="8"/>
  <c r="H151" i="8"/>
  <c r="G151" i="8"/>
  <c r="F151" i="8"/>
  <c r="E151" i="8"/>
  <c r="D151" i="8"/>
  <c r="I150" i="8"/>
  <c r="I149" i="8"/>
  <c r="I148" i="8"/>
  <c r="I147" i="8"/>
  <c r="I146" i="8"/>
  <c r="I145" i="8"/>
  <c r="I144" i="8"/>
  <c r="I151" i="8" s="1"/>
  <c r="F137" i="8"/>
  <c r="E137" i="8"/>
  <c r="D137" i="8"/>
  <c r="G136" i="8"/>
  <c r="G135" i="8"/>
  <c r="G134" i="8"/>
  <c r="G133" i="8"/>
  <c r="G132" i="8"/>
  <c r="G137" i="8" s="1"/>
  <c r="G131" i="8"/>
  <c r="L127" i="8"/>
  <c r="K127" i="8"/>
  <c r="I127" i="8"/>
  <c r="H127" i="8"/>
  <c r="G127" i="8"/>
  <c r="F127" i="8"/>
  <c r="E127" i="8"/>
  <c r="D127" i="8"/>
  <c r="L116" i="8"/>
  <c r="K116" i="8"/>
  <c r="I116" i="8"/>
  <c r="H116" i="8"/>
  <c r="G116" i="8"/>
  <c r="F116" i="8"/>
  <c r="E116" i="8"/>
  <c r="D116" i="8"/>
  <c r="M105" i="8"/>
  <c r="L105" i="8"/>
  <c r="K105" i="8"/>
  <c r="J105" i="8"/>
  <c r="I105" i="8"/>
  <c r="H105" i="8"/>
  <c r="G105" i="8"/>
  <c r="F105" i="8"/>
  <c r="E105" i="8"/>
  <c r="D105" i="8"/>
  <c r="K92" i="8"/>
  <c r="J92" i="8"/>
  <c r="I92" i="8"/>
  <c r="H92" i="8"/>
  <c r="G92" i="8"/>
  <c r="F92" i="8"/>
  <c r="E92" i="8"/>
  <c r="D92" i="8"/>
  <c r="O79" i="8"/>
  <c r="N79" i="8"/>
  <c r="M79" i="8"/>
  <c r="L79" i="8"/>
  <c r="K79" i="8"/>
  <c r="J79" i="8"/>
  <c r="I79" i="8"/>
  <c r="F79" i="8"/>
  <c r="E79" i="8"/>
  <c r="D79" i="8"/>
  <c r="G78" i="8"/>
  <c r="G77" i="8"/>
  <c r="G76" i="8"/>
  <c r="G75" i="8"/>
  <c r="G74" i="8"/>
  <c r="G73" i="8"/>
  <c r="G72" i="8"/>
  <c r="G79" i="8" s="1"/>
  <c r="L69" i="8"/>
  <c r="K69" i="8"/>
  <c r="I69" i="8"/>
  <c r="H69" i="8"/>
  <c r="G69" i="8"/>
  <c r="F69" i="8"/>
  <c r="E69" i="8"/>
  <c r="D69" i="8"/>
  <c r="K58" i="8"/>
  <c r="J58" i="8"/>
  <c r="I58" i="8"/>
  <c r="H58" i="8"/>
  <c r="G58" i="8"/>
  <c r="F58" i="8"/>
  <c r="E58" i="8"/>
  <c r="D58" i="8"/>
  <c r="E47" i="8"/>
  <c r="D47" i="8"/>
  <c r="F35" i="8"/>
  <c r="E35" i="8"/>
  <c r="G35" i="8" s="1"/>
  <c r="D35" i="8"/>
  <c r="G34" i="8"/>
  <c r="G33" i="8"/>
  <c r="G32" i="8"/>
  <c r="G31" i="8"/>
  <c r="G30" i="8"/>
  <c r="G29" i="8"/>
  <c r="G28" i="8"/>
  <c r="O24" i="8"/>
  <c r="N24" i="8"/>
  <c r="M24" i="8"/>
  <c r="L24" i="8"/>
  <c r="K24" i="8"/>
  <c r="J24" i="8"/>
  <c r="I24" i="8"/>
  <c r="H24" i="8"/>
  <c r="F24" i="8"/>
  <c r="E24" i="8"/>
  <c r="D24" i="8"/>
  <c r="G24" i="8" s="1"/>
  <c r="G23" i="8"/>
  <c r="G22" i="8"/>
  <c r="G21" i="8"/>
  <c r="G20" i="8"/>
  <c r="G19" i="8"/>
  <c r="G18" i="8"/>
  <c r="G17" i="8"/>
  <c r="I219" i="7" l="1"/>
  <c r="H219" i="7"/>
  <c r="G219" i="7"/>
  <c r="F219" i="7"/>
  <c r="D219" i="7"/>
  <c r="F218" i="7"/>
  <c r="E218" i="7"/>
  <c r="F216" i="7"/>
  <c r="E214" i="7"/>
  <c r="E219" i="7" s="1"/>
  <c r="D214" i="7"/>
  <c r="F213" i="7"/>
  <c r="D213" i="7"/>
  <c r="L209" i="7"/>
  <c r="K209" i="7"/>
  <c r="J209" i="7"/>
  <c r="I209" i="7"/>
  <c r="H209" i="7"/>
  <c r="G209" i="7"/>
  <c r="F209" i="7"/>
  <c r="E209" i="7"/>
  <c r="D209" i="7"/>
  <c r="L196" i="7"/>
  <c r="K196" i="7"/>
  <c r="J196" i="7"/>
  <c r="I196" i="7"/>
  <c r="H196" i="7"/>
  <c r="E196" i="7"/>
  <c r="D196" i="7"/>
  <c r="G195" i="7"/>
  <c r="G194" i="7"/>
  <c r="G193" i="7"/>
  <c r="G192" i="7"/>
  <c r="F192" i="7"/>
  <c r="F196" i="7" s="1"/>
  <c r="G191" i="7"/>
  <c r="G190" i="7"/>
  <c r="G189" i="7"/>
  <c r="G196" i="7" s="1"/>
  <c r="O185" i="7"/>
  <c r="N185" i="7"/>
  <c r="M185" i="7"/>
  <c r="L185" i="7"/>
  <c r="K185" i="7"/>
  <c r="J185" i="7"/>
  <c r="I185" i="7"/>
  <c r="H185" i="7"/>
  <c r="F185" i="7"/>
  <c r="E185" i="7"/>
  <c r="D185" i="7"/>
  <c r="G184" i="7"/>
  <c r="G183" i="7"/>
  <c r="G182" i="7"/>
  <c r="G181" i="7"/>
  <c r="L180" i="7"/>
  <c r="H180" i="7"/>
  <c r="G180" i="7"/>
  <c r="G179" i="7"/>
  <c r="G178" i="7"/>
  <c r="G185" i="7" s="1"/>
  <c r="I172" i="7"/>
  <c r="H172" i="7"/>
  <c r="G172" i="7"/>
  <c r="F172" i="7"/>
  <c r="E172" i="7"/>
  <c r="D172" i="7"/>
  <c r="K171" i="7"/>
  <c r="J171" i="7"/>
  <c r="K170" i="7"/>
  <c r="J170" i="7"/>
  <c r="K169" i="7"/>
  <c r="J169" i="7"/>
  <c r="K168" i="7"/>
  <c r="J168" i="7"/>
  <c r="K167" i="7"/>
  <c r="J167" i="7"/>
  <c r="K166" i="7"/>
  <c r="J166" i="7"/>
  <c r="K165" i="7"/>
  <c r="K172" i="7" s="1"/>
  <c r="J165" i="7"/>
  <c r="J172" i="7" s="1"/>
  <c r="J162" i="7"/>
  <c r="I162" i="7"/>
  <c r="H162" i="7"/>
  <c r="F162" i="7"/>
  <c r="E162" i="7"/>
  <c r="D162" i="7"/>
  <c r="G161" i="7"/>
  <c r="G160" i="7"/>
  <c r="G159" i="7"/>
  <c r="G158" i="7"/>
  <c r="G157" i="7"/>
  <c r="G156" i="7"/>
  <c r="G155" i="7"/>
  <c r="G162" i="7" s="1"/>
  <c r="N151" i="7"/>
  <c r="M151" i="7"/>
  <c r="L151" i="7"/>
  <c r="K151" i="7"/>
  <c r="J151" i="7"/>
  <c r="H151" i="7"/>
  <c r="G151" i="7"/>
  <c r="F151" i="7"/>
  <c r="E151" i="7"/>
  <c r="D151" i="7"/>
  <c r="I150" i="7"/>
  <c r="I149" i="7"/>
  <c r="I148" i="7"/>
  <c r="I147" i="7"/>
  <c r="I146" i="7"/>
  <c r="I145" i="7"/>
  <c r="I144" i="7"/>
  <c r="I151" i="7" s="1"/>
  <c r="F137" i="7"/>
  <c r="E137" i="7"/>
  <c r="G136" i="7"/>
  <c r="G135" i="7"/>
  <c r="G134" i="7"/>
  <c r="D133" i="7"/>
  <c r="D137" i="7" s="1"/>
  <c r="G132" i="7"/>
  <c r="G131" i="7"/>
  <c r="L127" i="7"/>
  <c r="K127" i="7"/>
  <c r="I127" i="7"/>
  <c r="H127" i="7"/>
  <c r="G127" i="7"/>
  <c r="F127" i="7"/>
  <c r="E127" i="7"/>
  <c r="D127" i="7"/>
  <c r="L116" i="7"/>
  <c r="K116" i="7"/>
  <c r="I116" i="7"/>
  <c r="H116" i="7"/>
  <c r="G116" i="7"/>
  <c r="F116" i="7"/>
  <c r="E116" i="7"/>
  <c r="D116" i="7"/>
  <c r="M105" i="7"/>
  <c r="L105" i="7"/>
  <c r="K105" i="7"/>
  <c r="J105" i="7"/>
  <c r="I105" i="7"/>
  <c r="H105" i="7"/>
  <c r="G105" i="7"/>
  <c r="F105" i="7"/>
  <c r="E105" i="7"/>
  <c r="D105" i="7"/>
  <c r="K92" i="7"/>
  <c r="J92" i="7"/>
  <c r="I92" i="7"/>
  <c r="H92" i="7"/>
  <c r="G92" i="7"/>
  <c r="F92" i="7"/>
  <c r="E92" i="7"/>
  <c r="D92" i="7"/>
  <c r="O79" i="7"/>
  <c r="N79" i="7"/>
  <c r="M79" i="7"/>
  <c r="L79" i="7"/>
  <c r="J79" i="7"/>
  <c r="I79" i="7"/>
  <c r="F79" i="7"/>
  <c r="E79" i="7"/>
  <c r="D79" i="7"/>
  <c r="G78" i="7"/>
  <c r="G79" i="7" s="1"/>
  <c r="G77" i="7"/>
  <c r="G76" i="7"/>
  <c r="G75" i="7"/>
  <c r="K74" i="7"/>
  <c r="K79" i="7" s="1"/>
  <c r="G74" i="7"/>
  <c r="G73" i="7"/>
  <c r="G72" i="7"/>
  <c r="K69" i="7"/>
  <c r="I69" i="7"/>
  <c r="H69" i="7"/>
  <c r="G69" i="7"/>
  <c r="F69" i="7"/>
  <c r="E69" i="7"/>
  <c r="L65" i="7"/>
  <c r="L69" i="7" s="1"/>
  <c r="D65" i="7"/>
  <c r="L64" i="7"/>
  <c r="D64" i="7"/>
  <c r="D69" i="7" s="1"/>
  <c r="K58" i="7"/>
  <c r="J58" i="7"/>
  <c r="I58" i="7"/>
  <c r="H58" i="7"/>
  <c r="G58" i="7"/>
  <c r="F58" i="7"/>
  <c r="E58" i="7"/>
  <c r="D58" i="7"/>
  <c r="E47" i="7"/>
  <c r="D47" i="7"/>
  <c r="E35" i="7"/>
  <c r="G34" i="7"/>
  <c r="G33" i="7"/>
  <c r="G32" i="7"/>
  <c r="F31" i="7"/>
  <c r="F35" i="7" s="1"/>
  <c r="E31" i="7"/>
  <c r="D31" i="7"/>
  <c r="D35" i="7" s="1"/>
  <c r="G30" i="7"/>
  <c r="G29" i="7"/>
  <c r="G28" i="7"/>
  <c r="O24" i="7"/>
  <c r="N24" i="7"/>
  <c r="M24" i="7"/>
  <c r="J24" i="7"/>
  <c r="H24" i="7"/>
  <c r="F24" i="7"/>
  <c r="G23" i="7"/>
  <c r="G22" i="7"/>
  <c r="G21" i="7"/>
  <c r="L20" i="7"/>
  <c r="L24" i="7" s="1"/>
  <c r="K20" i="7"/>
  <c r="K24" i="7" s="1"/>
  <c r="I20" i="7"/>
  <c r="I24" i="7" s="1"/>
  <c r="F20" i="7"/>
  <c r="E20" i="7"/>
  <c r="E24" i="7" s="1"/>
  <c r="D20" i="7"/>
  <c r="G20" i="7" s="1"/>
  <c r="G19" i="7"/>
  <c r="G18" i="7"/>
  <c r="G17" i="7"/>
  <c r="G35" i="7" l="1"/>
  <c r="D24" i="7"/>
  <c r="G24" i="7" s="1"/>
  <c r="G133" i="7"/>
  <c r="G137" i="7" s="1"/>
  <c r="G31" i="7"/>
  <c r="E213" i="7"/>
  <c r="I219" i="6" l="1"/>
  <c r="H219" i="6"/>
  <c r="G219" i="6"/>
  <c r="D219" i="6"/>
  <c r="F218" i="6"/>
  <c r="F217" i="6"/>
  <c r="F213" i="6" s="1"/>
  <c r="F216" i="6"/>
  <c r="E216" i="6"/>
  <c r="F214" i="6"/>
  <c r="E214" i="6"/>
  <c r="E219" i="6" s="1"/>
  <c r="E213" i="6"/>
  <c r="D213" i="6"/>
  <c r="L209" i="6"/>
  <c r="K209" i="6"/>
  <c r="J209" i="6"/>
  <c r="I209" i="6"/>
  <c r="H209" i="6"/>
  <c r="G209" i="6"/>
  <c r="F209" i="6"/>
  <c r="E209" i="6"/>
  <c r="D209" i="6"/>
  <c r="K196" i="6"/>
  <c r="J196" i="6"/>
  <c r="I196" i="6"/>
  <c r="H196" i="6"/>
  <c r="F196" i="6"/>
  <c r="E196" i="6"/>
  <c r="G195" i="6"/>
  <c r="G194" i="6"/>
  <c r="G193" i="6"/>
  <c r="L192" i="6"/>
  <c r="G192" i="6"/>
  <c r="D192" i="6"/>
  <c r="L191" i="6"/>
  <c r="L196" i="6" s="1"/>
  <c r="D191" i="6"/>
  <c r="G191" i="6" s="1"/>
  <c r="D190" i="6"/>
  <c r="D196" i="6" s="1"/>
  <c r="G189" i="6"/>
  <c r="O185" i="6"/>
  <c r="N185" i="6"/>
  <c r="M185" i="6"/>
  <c r="K185" i="6"/>
  <c r="J185" i="6"/>
  <c r="H185" i="6"/>
  <c r="F185" i="6"/>
  <c r="E185" i="6"/>
  <c r="G184" i="6"/>
  <c r="G183" i="6"/>
  <c r="G182" i="6"/>
  <c r="L181" i="6"/>
  <c r="L185" i="6" s="1"/>
  <c r="I181" i="6"/>
  <c r="I185" i="6" s="1"/>
  <c r="H181" i="6"/>
  <c r="G181" i="6"/>
  <c r="D181" i="6"/>
  <c r="D185" i="6" s="1"/>
  <c r="G180" i="6"/>
  <c r="G185" i="6" s="1"/>
  <c r="G179" i="6"/>
  <c r="G178" i="6"/>
  <c r="I172" i="6"/>
  <c r="H172" i="6"/>
  <c r="G172" i="6"/>
  <c r="F172" i="6"/>
  <c r="E172" i="6"/>
  <c r="D172" i="6"/>
  <c r="K171" i="6"/>
  <c r="J171" i="6"/>
  <c r="K170" i="6"/>
  <c r="J170" i="6"/>
  <c r="K169" i="6"/>
  <c r="J169" i="6"/>
  <c r="K168" i="6"/>
  <c r="J168" i="6"/>
  <c r="K167" i="6"/>
  <c r="J167" i="6"/>
  <c r="K166" i="6"/>
  <c r="J166" i="6"/>
  <c r="K165" i="6"/>
  <c r="K172" i="6" s="1"/>
  <c r="J165" i="6"/>
  <c r="J172" i="6" s="1"/>
  <c r="J162" i="6"/>
  <c r="I162" i="6"/>
  <c r="H162" i="6"/>
  <c r="F162" i="6"/>
  <c r="E162" i="6"/>
  <c r="D162" i="6"/>
  <c r="G161" i="6"/>
  <c r="G160" i="6"/>
  <c r="G159" i="6"/>
  <c r="G158" i="6"/>
  <c r="G157" i="6"/>
  <c r="G162" i="6" s="1"/>
  <c r="G156" i="6"/>
  <c r="G155" i="6"/>
  <c r="N151" i="6"/>
  <c r="M151" i="6"/>
  <c r="L151" i="6"/>
  <c r="K151" i="6"/>
  <c r="J151" i="6"/>
  <c r="H151" i="6"/>
  <c r="G151" i="6"/>
  <c r="F151" i="6"/>
  <c r="E151" i="6"/>
  <c r="D151" i="6"/>
  <c r="I150" i="6"/>
  <c r="I149" i="6"/>
  <c r="I148" i="6"/>
  <c r="I147" i="6"/>
  <c r="I146" i="6"/>
  <c r="I145" i="6"/>
  <c r="I144" i="6"/>
  <c r="I151" i="6" s="1"/>
  <c r="F137" i="6"/>
  <c r="E137" i="6"/>
  <c r="D137" i="6"/>
  <c r="G136" i="6"/>
  <c r="G135" i="6"/>
  <c r="G134" i="6"/>
  <c r="G133" i="6"/>
  <c r="D133" i="6"/>
  <c r="G132" i="6"/>
  <c r="D132" i="6"/>
  <c r="G131" i="6"/>
  <c r="G137" i="6" s="1"/>
  <c r="L127" i="6"/>
  <c r="K127" i="6"/>
  <c r="I127" i="6"/>
  <c r="H127" i="6"/>
  <c r="G127" i="6"/>
  <c r="F127" i="6"/>
  <c r="E127" i="6"/>
  <c r="D127" i="6"/>
  <c r="L116" i="6"/>
  <c r="K116" i="6"/>
  <c r="I116" i="6"/>
  <c r="H116" i="6"/>
  <c r="G116" i="6"/>
  <c r="F116" i="6"/>
  <c r="E116" i="6"/>
  <c r="D116" i="6"/>
  <c r="M105" i="6"/>
  <c r="L105" i="6"/>
  <c r="K105" i="6"/>
  <c r="J105" i="6"/>
  <c r="I105" i="6"/>
  <c r="H105" i="6"/>
  <c r="G105" i="6"/>
  <c r="F105" i="6"/>
  <c r="D105" i="6"/>
  <c r="E101" i="6"/>
  <c r="E105" i="6" s="1"/>
  <c r="K92" i="6"/>
  <c r="J92" i="6"/>
  <c r="I92" i="6"/>
  <c r="H92" i="6"/>
  <c r="G92" i="6"/>
  <c r="F92" i="6"/>
  <c r="E92" i="6"/>
  <c r="D92" i="6"/>
  <c r="O79" i="6"/>
  <c r="N79" i="6"/>
  <c r="M79" i="6"/>
  <c r="L79" i="6"/>
  <c r="K79" i="6"/>
  <c r="J79" i="6"/>
  <c r="I79" i="6"/>
  <c r="F79" i="6"/>
  <c r="E79" i="6"/>
  <c r="D79" i="6"/>
  <c r="G78" i="6"/>
  <c r="G77" i="6"/>
  <c r="G76" i="6"/>
  <c r="G75" i="6"/>
  <c r="O74" i="6"/>
  <c r="G74" i="6"/>
  <c r="D74" i="6"/>
  <c r="G73" i="6"/>
  <c r="G72" i="6"/>
  <c r="G79" i="6" s="1"/>
  <c r="L69" i="6"/>
  <c r="K69" i="6"/>
  <c r="I69" i="6"/>
  <c r="G69" i="6"/>
  <c r="D69" i="6"/>
  <c r="H65" i="6"/>
  <c r="H69" i="6" s="1"/>
  <c r="F65" i="6"/>
  <c r="F69" i="6" s="1"/>
  <c r="E65" i="6"/>
  <c r="E69" i="6" s="1"/>
  <c r="L64" i="6"/>
  <c r="K58" i="6"/>
  <c r="J58" i="6"/>
  <c r="I58" i="6"/>
  <c r="H58" i="6"/>
  <c r="G58" i="6"/>
  <c r="F58" i="6"/>
  <c r="E58" i="6"/>
  <c r="D58" i="6"/>
  <c r="E47" i="6"/>
  <c r="D47" i="6"/>
  <c r="F35" i="6"/>
  <c r="G34" i="6"/>
  <c r="G33" i="6"/>
  <c r="G32" i="6"/>
  <c r="D31" i="6"/>
  <c r="G31" i="6" s="1"/>
  <c r="E30" i="6"/>
  <c r="G30" i="6" s="1"/>
  <c r="D30" i="6"/>
  <c r="E29" i="6"/>
  <c r="D29" i="6"/>
  <c r="D35" i="6" s="1"/>
  <c r="G28" i="6"/>
  <c r="O24" i="6"/>
  <c r="N24" i="6"/>
  <c r="M24" i="6"/>
  <c r="L24" i="6"/>
  <c r="K24" i="6"/>
  <c r="J24" i="6"/>
  <c r="I24" i="6"/>
  <c r="H24" i="6"/>
  <c r="F24" i="6"/>
  <c r="E24" i="6"/>
  <c r="G24" i="6" s="1"/>
  <c r="D24" i="6"/>
  <c r="G23" i="6"/>
  <c r="G22" i="6"/>
  <c r="G21" i="6"/>
  <c r="I20" i="6"/>
  <c r="G20" i="6"/>
  <c r="G19" i="6"/>
  <c r="G18" i="6"/>
  <c r="G17" i="6"/>
  <c r="E35" i="6" l="1"/>
  <c r="G35" i="6" s="1"/>
  <c r="G29" i="6"/>
  <c r="F219" i="6"/>
  <c r="G190" i="6"/>
  <c r="G196" i="6" s="1"/>
  <c r="I219" i="4" l="1"/>
  <c r="H219" i="4"/>
  <c r="G219" i="4"/>
  <c r="D219" i="4"/>
  <c r="L209" i="4"/>
  <c r="K209" i="4"/>
  <c r="J209" i="4"/>
  <c r="I209" i="4"/>
  <c r="H209" i="4"/>
  <c r="G209" i="4"/>
  <c r="F209" i="4"/>
  <c r="E209" i="4"/>
  <c r="D209" i="4"/>
  <c r="L196" i="4"/>
  <c r="K196" i="4"/>
  <c r="J196" i="4"/>
  <c r="I196" i="4"/>
  <c r="H196" i="4"/>
  <c r="F196" i="4"/>
  <c r="E196" i="4"/>
  <c r="D196" i="4"/>
  <c r="G195" i="4"/>
  <c r="G194" i="4"/>
  <c r="G193" i="4"/>
  <c r="G192" i="4"/>
  <c r="G191" i="4"/>
  <c r="G189" i="4"/>
  <c r="G196" i="4" s="1"/>
  <c r="O185" i="4"/>
  <c r="N185" i="4"/>
  <c r="M185" i="4"/>
  <c r="L185" i="4"/>
  <c r="K185" i="4"/>
  <c r="J185" i="4"/>
  <c r="I185" i="4"/>
  <c r="H185" i="4"/>
  <c r="F185" i="4"/>
  <c r="E185" i="4"/>
  <c r="D185" i="4"/>
  <c r="G184" i="4"/>
  <c r="G183" i="4"/>
  <c r="G182" i="4"/>
  <c r="G181" i="4"/>
  <c r="G180" i="4"/>
  <c r="G178" i="4"/>
  <c r="G185" i="4" s="1"/>
  <c r="I172" i="4"/>
  <c r="H172" i="4"/>
  <c r="G172" i="4"/>
  <c r="F172" i="4"/>
  <c r="E172" i="4"/>
  <c r="D172" i="4"/>
  <c r="K171" i="4"/>
  <c r="J171" i="4"/>
  <c r="K170" i="4"/>
  <c r="J170" i="4"/>
  <c r="K169" i="4"/>
  <c r="J169" i="4"/>
  <c r="K168" i="4"/>
  <c r="J168" i="4"/>
  <c r="K167" i="4"/>
  <c r="J167" i="4"/>
  <c r="K166" i="4"/>
  <c r="J166" i="4"/>
  <c r="K165" i="4"/>
  <c r="K172" i="4" s="1"/>
  <c r="J165" i="4"/>
  <c r="J172" i="4" s="1"/>
  <c r="J162" i="4"/>
  <c r="I162" i="4"/>
  <c r="H162" i="4"/>
  <c r="F162" i="4"/>
  <c r="E162" i="4"/>
  <c r="D162" i="4"/>
  <c r="G161" i="4"/>
  <c r="G160" i="4"/>
  <c r="G159" i="4"/>
  <c r="G158" i="4"/>
  <c r="G157" i="4"/>
  <c r="G156" i="4"/>
  <c r="G155" i="4"/>
  <c r="G162" i="4" s="1"/>
  <c r="N151" i="4"/>
  <c r="M151" i="4"/>
  <c r="L151" i="4"/>
  <c r="K151" i="4"/>
  <c r="J151" i="4"/>
  <c r="H151" i="4"/>
  <c r="G151" i="4"/>
  <c r="F151" i="4"/>
  <c r="E151" i="4"/>
  <c r="D151" i="4"/>
  <c r="I150" i="4"/>
  <c r="I149" i="4"/>
  <c r="I148" i="4"/>
  <c r="I147" i="4"/>
  <c r="I146" i="4"/>
  <c r="I145" i="4"/>
  <c r="I144" i="4"/>
  <c r="I151" i="4" s="1"/>
  <c r="F137" i="4"/>
  <c r="E137" i="4"/>
  <c r="D137" i="4"/>
  <c r="G136" i="4"/>
  <c r="G135" i="4"/>
  <c r="G134" i="4"/>
  <c r="G133" i="4"/>
  <c r="G132" i="4"/>
  <c r="G137" i="4" s="1"/>
  <c r="L127" i="4"/>
  <c r="K127" i="4"/>
  <c r="I127" i="4"/>
  <c r="H127" i="4"/>
  <c r="G127" i="4"/>
  <c r="F127" i="4"/>
  <c r="E127" i="4"/>
  <c r="D127" i="4"/>
  <c r="L116" i="4"/>
  <c r="K116" i="4"/>
  <c r="I116" i="4"/>
  <c r="H116" i="4"/>
  <c r="G116" i="4"/>
  <c r="F116" i="4"/>
  <c r="E116" i="4"/>
  <c r="D116" i="4"/>
  <c r="M105" i="4"/>
  <c r="L105" i="4"/>
  <c r="K105" i="4"/>
  <c r="J105" i="4"/>
  <c r="I105" i="4"/>
  <c r="H105" i="4"/>
  <c r="G105" i="4"/>
  <c r="F105" i="4"/>
  <c r="E105" i="4"/>
  <c r="D105" i="4"/>
  <c r="K92" i="4"/>
  <c r="J92" i="4"/>
  <c r="I92" i="4"/>
  <c r="H92" i="4"/>
  <c r="G92" i="4"/>
  <c r="F92" i="4"/>
  <c r="E92" i="4"/>
  <c r="D92" i="4"/>
  <c r="O79" i="4"/>
  <c r="N79" i="4"/>
  <c r="M79" i="4"/>
  <c r="L79" i="4"/>
  <c r="K79" i="4"/>
  <c r="J79" i="4"/>
  <c r="I79" i="4"/>
  <c r="F79" i="4"/>
  <c r="E79" i="4"/>
  <c r="D79" i="4"/>
  <c r="G78" i="4"/>
  <c r="G77" i="4"/>
  <c r="G76" i="4"/>
  <c r="G75" i="4"/>
  <c r="G74" i="4"/>
  <c r="G72" i="4"/>
  <c r="G79" i="4" s="1"/>
  <c r="L69" i="4"/>
  <c r="K69" i="4"/>
  <c r="I69" i="4"/>
  <c r="H69" i="4"/>
  <c r="G69" i="4"/>
  <c r="F69" i="4"/>
  <c r="E69" i="4"/>
  <c r="D69" i="4"/>
  <c r="K58" i="4"/>
  <c r="J58" i="4"/>
  <c r="I58" i="4"/>
  <c r="H58" i="4"/>
  <c r="G58" i="4"/>
  <c r="F58" i="4"/>
  <c r="E58" i="4"/>
  <c r="D58" i="4"/>
  <c r="E47" i="4"/>
  <c r="D47" i="4"/>
  <c r="F35" i="4"/>
  <c r="E35" i="4"/>
  <c r="D35" i="4"/>
  <c r="G35" i="4" s="1"/>
  <c r="G34" i="4"/>
  <c r="G33" i="4"/>
  <c r="G32" i="4"/>
  <c r="G31" i="4"/>
  <c r="G30" i="4"/>
  <c r="G29" i="4"/>
  <c r="G28" i="4"/>
  <c r="O24" i="4"/>
  <c r="N24" i="4"/>
  <c r="M24" i="4"/>
  <c r="L24" i="4"/>
  <c r="K24" i="4"/>
  <c r="J24" i="4"/>
  <c r="I24" i="4"/>
  <c r="H24" i="4"/>
  <c r="G24" i="4"/>
  <c r="F24" i="4"/>
  <c r="E24" i="4"/>
  <c r="D24" i="4"/>
  <c r="G23" i="4"/>
  <c r="G22" i="4"/>
  <c r="G21" i="4"/>
  <c r="G20" i="4"/>
  <c r="G19" i="4"/>
  <c r="G17" i="4"/>
  <c r="I219" i="3" l="1"/>
  <c r="H219" i="3"/>
  <c r="G219" i="3"/>
  <c r="F219" i="3"/>
  <c r="E219" i="3"/>
  <c r="D219" i="3"/>
  <c r="E216" i="3"/>
  <c r="E213" i="3"/>
  <c r="L209" i="3"/>
  <c r="K209" i="3"/>
  <c r="J209" i="3"/>
  <c r="I209" i="3"/>
  <c r="H209" i="3"/>
  <c r="G209" i="3"/>
  <c r="F209" i="3"/>
  <c r="E209" i="3"/>
  <c r="D209" i="3"/>
  <c r="L196" i="3"/>
  <c r="K196" i="3"/>
  <c r="J196" i="3"/>
  <c r="I196" i="3"/>
  <c r="H196" i="3"/>
  <c r="F196" i="3"/>
  <c r="E196" i="3"/>
  <c r="D196" i="3"/>
  <c r="G195" i="3"/>
  <c r="G194" i="3"/>
  <c r="G193" i="3"/>
  <c r="G192" i="3"/>
  <c r="G191" i="3"/>
  <c r="G190" i="3"/>
  <c r="G189" i="3"/>
  <c r="G196" i="3" s="1"/>
  <c r="O185" i="3"/>
  <c r="N185" i="3"/>
  <c r="M185" i="3"/>
  <c r="L185" i="3"/>
  <c r="K185" i="3"/>
  <c r="J185" i="3"/>
  <c r="I185" i="3"/>
  <c r="H185" i="3"/>
  <c r="F185" i="3"/>
  <c r="E185" i="3"/>
  <c r="D185" i="3"/>
  <c r="G184" i="3"/>
  <c r="G183" i="3"/>
  <c r="G182" i="3"/>
  <c r="G181" i="3"/>
  <c r="G180" i="3"/>
  <c r="G179" i="3"/>
  <c r="G178" i="3"/>
  <c r="G185" i="3" s="1"/>
  <c r="I172" i="3"/>
  <c r="H172" i="3"/>
  <c r="G172" i="3"/>
  <c r="F172" i="3"/>
  <c r="E172" i="3"/>
  <c r="D172" i="3"/>
  <c r="K171" i="3"/>
  <c r="J171" i="3"/>
  <c r="K170" i="3"/>
  <c r="J170" i="3"/>
  <c r="K169" i="3"/>
  <c r="J169" i="3"/>
  <c r="K168" i="3"/>
  <c r="J168" i="3"/>
  <c r="K167" i="3"/>
  <c r="J167" i="3"/>
  <c r="K166" i="3"/>
  <c r="J166" i="3"/>
  <c r="K165" i="3"/>
  <c r="K172" i="3" s="1"/>
  <c r="J165" i="3"/>
  <c r="J172" i="3" s="1"/>
  <c r="J162" i="3"/>
  <c r="I162" i="3"/>
  <c r="H162" i="3"/>
  <c r="F162" i="3"/>
  <c r="E162" i="3"/>
  <c r="D162" i="3"/>
  <c r="G161" i="3"/>
  <c r="G160" i="3"/>
  <c r="G159" i="3"/>
  <c r="G158" i="3"/>
  <c r="G157" i="3"/>
  <c r="G156" i="3"/>
  <c r="G155" i="3"/>
  <c r="G162" i="3" s="1"/>
  <c r="N151" i="3"/>
  <c r="M151" i="3"/>
  <c r="L151" i="3"/>
  <c r="K151" i="3"/>
  <c r="J151" i="3"/>
  <c r="H151" i="3"/>
  <c r="G151" i="3"/>
  <c r="F151" i="3"/>
  <c r="E151" i="3"/>
  <c r="D151" i="3"/>
  <c r="I150" i="3"/>
  <c r="I149" i="3"/>
  <c r="I148" i="3"/>
  <c r="I147" i="3"/>
  <c r="I146" i="3"/>
  <c r="I145" i="3"/>
  <c r="I144" i="3"/>
  <c r="I151" i="3" s="1"/>
  <c r="F137" i="3"/>
  <c r="E137" i="3"/>
  <c r="G136" i="3"/>
  <c r="G135" i="3"/>
  <c r="G134" i="3"/>
  <c r="G133" i="3"/>
  <c r="D132" i="3"/>
  <c r="D137" i="3" s="1"/>
  <c r="G131" i="3"/>
  <c r="L127" i="3"/>
  <c r="K127" i="3"/>
  <c r="I127" i="3"/>
  <c r="H127" i="3"/>
  <c r="G127" i="3"/>
  <c r="F127" i="3"/>
  <c r="E127" i="3"/>
  <c r="D127" i="3"/>
  <c r="L116" i="3"/>
  <c r="K116" i="3"/>
  <c r="I116" i="3"/>
  <c r="H116" i="3"/>
  <c r="G116" i="3"/>
  <c r="F116" i="3"/>
  <c r="E116" i="3"/>
  <c r="D116" i="3"/>
  <c r="M105" i="3"/>
  <c r="L105" i="3"/>
  <c r="K105" i="3"/>
  <c r="J105" i="3"/>
  <c r="I105" i="3"/>
  <c r="H105" i="3"/>
  <c r="G105" i="3"/>
  <c r="F105" i="3"/>
  <c r="E105" i="3"/>
  <c r="D105" i="3"/>
  <c r="K92" i="3"/>
  <c r="J92" i="3"/>
  <c r="I92" i="3"/>
  <c r="H92" i="3"/>
  <c r="G92" i="3"/>
  <c r="F92" i="3"/>
  <c r="E92" i="3"/>
  <c r="D92" i="3"/>
  <c r="O79" i="3"/>
  <c r="N79" i="3"/>
  <c r="M79" i="3"/>
  <c r="L79" i="3"/>
  <c r="K79" i="3"/>
  <c r="J79" i="3"/>
  <c r="I79" i="3"/>
  <c r="F79" i="3"/>
  <c r="E79" i="3"/>
  <c r="D79" i="3"/>
  <c r="G78" i="3"/>
  <c r="G77" i="3"/>
  <c r="G76" i="3"/>
  <c r="G75" i="3"/>
  <c r="G74" i="3"/>
  <c r="G73" i="3"/>
  <c r="G72" i="3"/>
  <c r="G79" i="3" s="1"/>
  <c r="L69" i="3"/>
  <c r="K69" i="3"/>
  <c r="I69" i="3"/>
  <c r="H69" i="3"/>
  <c r="G69" i="3"/>
  <c r="F69" i="3"/>
  <c r="E69" i="3"/>
  <c r="D69" i="3"/>
  <c r="K58" i="3"/>
  <c r="J58" i="3"/>
  <c r="I58" i="3"/>
  <c r="H58" i="3"/>
  <c r="G58" i="3"/>
  <c r="F58" i="3"/>
  <c r="E58" i="3"/>
  <c r="D58" i="3"/>
  <c r="E47" i="3"/>
  <c r="E42" i="3"/>
  <c r="D42" i="3"/>
  <c r="D47" i="3" s="1"/>
  <c r="G35" i="3"/>
  <c r="F35" i="3"/>
  <c r="E35" i="3"/>
  <c r="D35" i="3"/>
  <c r="G34" i="3"/>
  <c r="G33" i="3"/>
  <c r="G32" i="3"/>
  <c r="G31" i="3"/>
  <c r="G30" i="3"/>
  <c r="G29" i="3"/>
  <c r="G28" i="3"/>
  <c r="O24" i="3"/>
  <c r="N24" i="3"/>
  <c r="M24" i="3"/>
  <c r="L24" i="3"/>
  <c r="K24" i="3"/>
  <c r="J24" i="3"/>
  <c r="I24" i="3"/>
  <c r="H24" i="3"/>
  <c r="F24" i="3"/>
  <c r="E24" i="3"/>
  <c r="D24" i="3"/>
  <c r="G24" i="3" s="1"/>
  <c r="G23" i="3"/>
  <c r="G22" i="3"/>
  <c r="G21" i="3"/>
  <c r="G20" i="3"/>
  <c r="G19" i="3"/>
  <c r="G18" i="3"/>
  <c r="G17" i="3"/>
  <c r="G137" i="3" l="1"/>
  <c r="G132" i="3"/>
  <c r="I219" i="5" l="1"/>
  <c r="H219" i="5"/>
  <c r="G219" i="5"/>
  <c r="F219" i="5"/>
  <c r="E219" i="5"/>
  <c r="D219" i="5"/>
  <c r="F213" i="5"/>
  <c r="E213" i="5"/>
  <c r="D213" i="5"/>
  <c r="L209" i="5"/>
  <c r="K209" i="5"/>
  <c r="J209" i="5"/>
  <c r="I209" i="5"/>
  <c r="H209" i="5"/>
  <c r="G209" i="5"/>
  <c r="F209" i="5"/>
  <c r="E209" i="5"/>
  <c r="D209" i="5"/>
  <c r="L196" i="5"/>
  <c r="K196" i="5"/>
  <c r="J196" i="5"/>
  <c r="I196" i="5"/>
  <c r="H196" i="5"/>
  <c r="F196" i="5"/>
  <c r="E196" i="5"/>
  <c r="D196" i="5"/>
  <c r="G195" i="5"/>
  <c r="G194" i="5"/>
  <c r="G193" i="5"/>
  <c r="G192" i="5"/>
  <c r="G191" i="5"/>
  <c r="G196" i="5" s="1"/>
  <c r="G190" i="5"/>
  <c r="G189" i="5"/>
  <c r="O185" i="5"/>
  <c r="N185" i="5"/>
  <c r="M185" i="5"/>
  <c r="L185" i="5"/>
  <c r="K185" i="5"/>
  <c r="J185" i="5"/>
  <c r="I185" i="5"/>
  <c r="H185" i="5"/>
  <c r="F185" i="5"/>
  <c r="E185" i="5"/>
  <c r="D185" i="5"/>
  <c r="G184" i="5"/>
  <c r="G183" i="5"/>
  <c r="G182" i="5"/>
  <c r="G181" i="5"/>
  <c r="G180" i="5"/>
  <c r="G179" i="5"/>
  <c r="G178" i="5"/>
  <c r="G185" i="5" s="1"/>
  <c r="I172" i="5"/>
  <c r="H172" i="5"/>
  <c r="G172" i="5"/>
  <c r="F172" i="5"/>
  <c r="E172" i="5"/>
  <c r="D172" i="5"/>
  <c r="K171" i="5"/>
  <c r="J171" i="5"/>
  <c r="K170" i="5"/>
  <c r="J170" i="5"/>
  <c r="K169" i="5"/>
  <c r="J169" i="5"/>
  <c r="K168" i="5"/>
  <c r="J168" i="5"/>
  <c r="K167" i="5"/>
  <c r="J167" i="5"/>
  <c r="K166" i="5"/>
  <c r="J166" i="5"/>
  <c r="K165" i="5"/>
  <c r="K172" i="5" s="1"/>
  <c r="J165" i="5"/>
  <c r="J172" i="5" s="1"/>
  <c r="J162" i="5"/>
  <c r="I162" i="5"/>
  <c r="H162" i="5"/>
  <c r="F162" i="5"/>
  <c r="E162" i="5"/>
  <c r="D162" i="5"/>
  <c r="G161" i="5"/>
  <c r="G160" i="5"/>
  <c r="G159" i="5"/>
  <c r="G158" i="5"/>
  <c r="G157" i="5"/>
  <c r="G156" i="5"/>
  <c r="G155" i="5"/>
  <c r="G162" i="5" s="1"/>
  <c r="N151" i="5"/>
  <c r="M151" i="5"/>
  <c r="L151" i="5"/>
  <c r="K151" i="5"/>
  <c r="J151" i="5"/>
  <c r="H151" i="5"/>
  <c r="G151" i="5"/>
  <c r="F151" i="5"/>
  <c r="E151" i="5"/>
  <c r="D151" i="5"/>
  <c r="I150" i="5"/>
  <c r="I149" i="5"/>
  <c r="I148" i="5"/>
  <c r="I147" i="5"/>
  <c r="I146" i="5"/>
  <c r="I145" i="5"/>
  <c r="I144" i="5"/>
  <c r="I151" i="5" s="1"/>
  <c r="F137" i="5"/>
  <c r="E137" i="5"/>
  <c r="D137" i="5"/>
  <c r="G136" i="5"/>
  <c r="G137" i="5" s="1"/>
  <c r="G135" i="5"/>
  <c r="G134" i="5"/>
  <c r="G132" i="5"/>
  <c r="L127" i="5"/>
  <c r="K127" i="5"/>
  <c r="I127" i="5"/>
  <c r="H127" i="5"/>
  <c r="G127" i="5"/>
  <c r="F127" i="5"/>
  <c r="E127" i="5"/>
  <c r="D127" i="5"/>
  <c r="L116" i="5"/>
  <c r="K116" i="5"/>
  <c r="I116" i="5"/>
  <c r="H116" i="5"/>
  <c r="G116" i="5"/>
  <c r="F116" i="5"/>
  <c r="E116" i="5"/>
  <c r="D116" i="5"/>
  <c r="M105" i="5"/>
  <c r="L105" i="5"/>
  <c r="K105" i="5"/>
  <c r="J105" i="5"/>
  <c r="I105" i="5"/>
  <c r="H105" i="5"/>
  <c r="G105" i="5"/>
  <c r="F105" i="5"/>
  <c r="E105" i="5"/>
  <c r="D105" i="5"/>
  <c r="K92" i="5"/>
  <c r="J92" i="5"/>
  <c r="I92" i="5"/>
  <c r="H92" i="5"/>
  <c r="G92" i="5"/>
  <c r="F92" i="5"/>
  <c r="E92" i="5"/>
  <c r="D92" i="5"/>
  <c r="O79" i="5"/>
  <c r="N79" i="5"/>
  <c r="M79" i="5"/>
  <c r="L79" i="5"/>
  <c r="K79" i="5"/>
  <c r="J79" i="5"/>
  <c r="I79" i="5"/>
  <c r="F79" i="5"/>
  <c r="E79" i="5"/>
  <c r="D79" i="5"/>
  <c r="G78" i="5"/>
  <c r="G77" i="5"/>
  <c r="G76" i="5"/>
  <c r="G75" i="5"/>
  <c r="G74" i="5"/>
  <c r="G72" i="5"/>
  <c r="G79" i="5" s="1"/>
  <c r="L69" i="5"/>
  <c r="K69" i="5"/>
  <c r="I69" i="5"/>
  <c r="H69" i="5"/>
  <c r="G69" i="5"/>
  <c r="F69" i="5"/>
  <c r="E69" i="5"/>
  <c r="D69" i="5"/>
  <c r="K58" i="5"/>
  <c r="J58" i="5"/>
  <c r="I58" i="5"/>
  <c r="H58" i="5"/>
  <c r="G58" i="5"/>
  <c r="F58" i="5"/>
  <c r="E58" i="5"/>
  <c r="D58" i="5"/>
  <c r="E47" i="5"/>
  <c r="D47" i="5"/>
  <c r="F35" i="5"/>
  <c r="E35" i="5"/>
  <c r="D35" i="5"/>
  <c r="G35" i="5" s="1"/>
  <c r="G34" i="5"/>
  <c r="G33" i="5"/>
  <c r="G32" i="5"/>
  <c r="G31" i="5"/>
  <c r="G30" i="5"/>
  <c r="G28" i="5"/>
  <c r="O24" i="5"/>
  <c r="N24" i="5"/>
  <c r="M24" i="5"/>
  <c r="L24" i="5"/>
  <c r="K24" i="5"/>
  <c r="J24" i="5"/>
  <c r="I24" i="5"/>
  <c r="H24" i="5"/>
  <c r="F24" i="5"/>
  <c r="E24" i="5"/>
  <c r="D24" i="5"/>
  <c r="G24" i="5" s="1"/>
  <c r="G23" i="5"/>
  <c r="G22" i="5"/>
  <c r="G21" i="5"/>
  <c r="G20" i="5"/>
  <c r="G19" i="5"/>
  <c r="G17" i="5"/>
  <c r="I219" i="2" l="1"/>
  <c r="H219" i="2"/>
  <c r="G219" i="2"/>
  <c r="F219" i="2"/>
  <c r="E217" i="2"/>
  <c r="D217" i="2"/>
  <c r="E216" i="2"/>
  <c r="D216" i="2"/>
  <c r="D214" i="2" s="1"/>
  <c r="E214" i="2"/>
  <c r="F213" i="2"/>
  <c r="L209" i="2"/>
  <c r="K209" i="2"/>
  <c r="J209" i="2"/>
  <c r="I209" i="2"/>
  <c r="H209" i="2"/>
  <c r="G209" i="2"/>
  <c r="F209" i="2"/>
  <c r="E209" i="2"/>
  <c r="D209" i="2"/>
  <c r="L196" i="2"/>
  <c r="J196" i="2"/>
  <c r="I196" i="2"/>
  <c r="H196" i="2"/>
  <c r="F196" i="2"/>
  <c r="E196" i="2"/>
  <c r="D196" i="2"/>
  <c r="G195" i="2"/>
  <c r="G194" i="2"/>
  <c r="G193" i="2"/>
  <c r="G192" i="2"/>
  <c r="G191" i="2"/>
  <c r="G190" i="2"/>
  <c r="K190" i="2" s="1"/>
  <c r="K196" i="2" s="1"/>
  <c r="G189" i="2"/>
  <c r="G196" i="2" s="1"/>
  <c r="O185" i="2"/>
  <c r="N185" i="2"/>
  <c r="M185" i="2"/>
  <c r="L185" i="2"/>
  <c r="J185" i="2"/>
  <c r="I185" i="2"/>
  <c r="H185" i="2"/>
  <c r="F185" i="2"/>
  <c r="E185" i="2"/>
  <c r="D185" i="2"/>
  <c r="G184" i="2"/>
  <c r="G183" i="2"/>
  <c r="G182" i="2"/>
  <c r="G181" i="2"/>
  <c r="K180" i="2"/>
  <c r="K185" i="2" s="1"/>
  <c r="G180" i="2"/>
  <c r="G178" i="2"/>
  <c r="G185" i="2" s="1"/>
  <c r="I172" i="2"/>
  <c r="H172" i="2"/>
  <c r="G172" i="2"/>
  <c r="F172" i="2"/>
  <c r="E172" i="2"/>
  <c r="D172" i="2"/>
  <c r="K171" i="2"/>
  <c r="J171" i="2"/>
  <c r="K170" i="2"/>
  <c r="J170" i="2"/>
  <c r="K169" i="2"/>
  <c r="J169" i="2"/>
  <c r="K168" i="2"/>
  <c r="J168" i="2"/>
  <c r="K167" i="2"/>
  <c r="J167" i="2"/>
  <c r="K166" i="2"/>
  <c r="J166" i="2"/>
  <c r="K165" i="2"/>
  <c r="K172" i="2" s="1"/>
  <c r="J165" i="2"/>
  <c r="J172" i="2" s="1"/>
  <c r="J162" i="2"/>
  <c r="I162" i="2"/>
  <c r="H162" i="2"/>
  <c r="F162" i="2"/>
  <c r="E162" i="2"/>
  <c r="D162" i="2"/>
  <c r="G161" i="2"/>
  <c r="G160" i="2"/>
  <c r="G159" i="2"/>
  <c r="G158" i="2"/>
  <c r="G157" i="2"/>
  <c r="G156" i="2"/>
  <c r="G155" i="2"/>
  <c r="G162" i="2" s="1"/>
  <c r="N151" i="2"/>
  <c r="M151" i="2"/>
  <c r="L151" i="2"/>
  <c r="K151" i="2"/>
  <c r="J151" i="2"/>
  <c r="H151" i="2"/>
  <c r="G151" i="2"/>
  <c r="F151" i="2"/>
  <c r="E151" i="2"/>
  <c r="D151" i="2"/>
  <c r="I150" i="2"/>
  <c r="I149" i="2"/>
  <c r="I148" i="2"/>
  <c r="I147" i="2"/>
  <c r="I146" i="2"/>
  <c r="I145" i="2"/>
  <c r="I144" i="2"/>
  <c r="I151" i="2" s="1"/>
  <c r="F137" i="2"/>
  <c r="E137" i="2"/>
  <c r="G136" i="2"/>
  <c r="G135" i="2"/>
  <c r="G134" i="2"/>
  <c r="G133" i="2"/>
  <c r="D132" i="2"/>
  <c r="G132" i="2" s="1"/>
  <c r="G131" i="2"/>
  <c r="G137" i="2" s="1"/>
  <c r="D131" i="2"/>
  <c r="D137" i="2" s="1"/>
  <c r="L127" i="2"/>
  <c r="K127" i="2"/>
  <c r="I127" i="2"/>
  <c r="H127" i="2"/>
  <c r="G127" i="2"/>
  <c r="F127" i="2"/>
  <c r="E127" i="2"/>
  <c r="D127" i="2"/>
  <c r="L116" i="2"/>
  <c r="K116" i="2"/>
  <c r="I116" i="2"/>
  <c r="H116" i="2"/>
  <c r="G116" i="2"/>
  <c r="F116" i="2"/>
  <c r="E116" i="2"/>
  <c r="D116" i="2"/>
  <c r="M105" i="2"/>
  <c r="L105" i="2"/>
  <c r="K105" i="2"/>
  <c r="J105" i="2"/>
  <c r="I105" i="2"/>
  <c r="H105" i="2"/>
  <c r="G105" i="2"/>
  <c r="F105" i="2"/>
  <c r="E105" i="2"/>
  <c r="D105" i="2"/>
  <c r="K92" i="2"/>
  <c r="J92" i="2"/>
  <c r="I92" i="2"/>
  <c r="H92" i="2"/>
  <c r="G92" i="2"/>
  <c r="F92" i="2"/>
  <c r="E92" i="2"/>
  <c r="D92" i="2"/>
  <c r="O79" i="2"/>
  <c r="N79" i="2"/>
  <c r="M79" i="2"/>
  <c r="L79" i="2"/>
  <c r="K79" i="2"/>
  <c r="J79" i="2"/>
  <c r="I79" i="2"/>
  <c r="F79" i="2"/>
  <c r="E79" i="2"/>
  <c r="D79" i="2"/>
  <c r="G78" i="2"/>
  <c r="G77" i="2"/>
  <c r="G76" i="2"/>
  <c r="G75" i="2"/>
  <c r="G74" i="2"/>
  <c r="G79" i="2" s="1"/>
  <c r="G72" i="2"/>
  <c r="L69" i="2"/>
  <c r="K69" i="2"/>
  <c r="I69" i="2"/>
  <c r="H69" i="2"/>
  <c r="F69" i="2"/>
  <c r="E69" i="2"/>
  <c r="D69" i="2"/>
  <c r="G64" i="2"/>
  <c r="G69" i="2" s="1"/>
  <c r="K58" i="2"/>
  <c r="J58" i="2"/>
  <c r="I58" i="2"/>
  <c r="H58" i="2"/>
  <c r="G58" i="2"/>
  <c r="F58" i="2"/>
  <c r="E58" i="2"/>
  <c r="D58" i="2"/>
  <c r="E47" i="2"/>
  <c r="D47" i="2"/>
  <c r="F35" i="2"/>
  <c r="E35" i="2"/>
  <c r="D35" i="2"/>
  <c r="G35" i="2" s="1"/>
  <c r="G34" i="2"/>
  <c r="G33" i="2"/>
  <c r="G32" i="2"/>
  <c r="G31" i="2"/>
  <c r="G30" i="2"/>
  <c r="G29" i="2"/>
  <c r="D29" i="2"/>
  <c r="G28" i="2"/>
  <c r="O24" i="2"/>
  <c r="N24" i="2"/>
  <c r="M24" i="2"/>
  <c r="L24" i="2"/>
  <c r="K24" i="2"/>
  <c r="J24" i="2"/>
  <c r="I24" i="2"/>
  <c r="H24" i="2"/>
  <c r="F24" i="2"/>
  <c r="E24" i="2"/>
  <c r="D24" i="2"/>
  <c r="G24" i="2" s="1"/>
  <c r="G23" i="2"/>
  <c r="G22" i="2"/>
  <c r="G21" i="2"/>
  <c r="G20" i="2"/>
  <c r="G19" i="2"/>
  <c r="G18" i="2"/>
  <c r="G17" i="2"/>
  <c r="I219" i="17" l="1"/>
  <c r="H219" i="17"/>
  <c r="F219" i="17"/>
  <c r="E219" i="17"/>
  <c r="D219" i="17"/>
  <c r="L209" i="17"/>
  <c r="K209" i="17"/>
  <c r="J209" i="17"/>
  <c r="I209" i="17"/>
  <c r="H209" i="17"/>
  <c r="G209" i="17"/>
  <c r="F209" i="17"/>
  <c r="E209" i="17"/>
  <c r="D209" i="17"/>
  <c r="L196" i="17"/>
  <c r="K196" i="17"/>
  <c r="J196" i="17"/>
  <c r="I196" i="17"/>
  <c r="H196" i="17"/>
  <c r="F196" i="17"/>
  <c r="E196" i="17"/>
  <c r="D196" i="17"/>
  <c r="G195" i="17"/>
  <c r="G194" i="17"/>
  <c r="G193" i="17"/>
  <c r="G192" i="17"/>
  <c r="G191" i="17"/>
  <c r="G196" i="17" s="1"/>
  <c r="G190" i="17"/>
  <c r="G189" i="17"/>
  <c r="O185" i="17"/>
  <c r="N185" i="17"/>
  <c r="M185" i="17"/>
  <c r="L185" i="17"/>
  <c r="K185" i="17"/>
  <c r="J185" i="17"/>
  <c r="I185" i="17"/>
  <c r="H185" i="17"/>
  <c r="F185" i="17"/>
  <c r="E185" i="17"/>
  <c r="D185" i="17"/>
  <c r="G184" i="17"/>
  <c r="G183" i="17"/>
  <c r="G182" i="17"/>
  <c r="G181" i="17"/>
  <c r="G180" i="17"/>
  <c r="G179" i="17"/>
  <c r="G178" i="17"/>
  <c r="G185" i="17" s="1"/>
  <c r="I172" i="17"/>
  <c r="H172" i="17"/>
  <c r="G172" i="17"/>
  <c r="F172" i="17"/>
  <c r="E172" i="17"/>
  <c r="D172" i="17"/>
  <c r="K171" i="17"/>
  <c r="J171" i="17"/>
  <c r="K170" i="17"/>
  <c r="J170" i="17"/>
  <c r="K169" i="17"/>
  <c r="J169" i="17"/>
  <c r="K168" i="17"/>
  <c r="J168" i="17"/>
  <c r="K167" i="17"/>
  <c r="J167" i="17"/>
  <c r="K166" i="17"/>
  <c r="J166" i="17"/>
  <c r="K165" i="17"/>
  <c r="K172" i="17" s="1"/>
  <c r="J165" i="17"/>
  <c r="J172" i="17" s="1"/>
  <c r="J162" i="17"/>
  <c r="I162" i="17"/>
  <c r="H162" i="17"/>
  <c r="F162" i="17"/>
  <c r="E162" i="17"/>
  <c r="D162" i="17"/>
  <c r="G161" i="17"/>
  <c r="G160" i="17"/>
  <c r="G159" i="17"/>
  <c r="G158" i="17"/>
  <c r="G157" i="17"/>
  <c r="G156" i="17"/>
  <c r="G155" i="17"/>
  <c r="G162" i="17" s="1"/>
  <c r="N151" i="17"/>
  <c r="M151" i="17"/>
  <c r="L151" i="17"/>
  <c r="K151" i="17"/>
  <c r="J151" i="17"/>
  <c r="H151" i="17"/>
  <c r="G151" i="17"/>
  <c r="F151" i="17"/>
  <c r="E151" i="17"/>
  <c r="D151" i="17"/>
  <c r="I150" i="17"/>
  <c r="I149" i="17"/>
  <c r="I148" i="17"/>
  <c r="I147" i="17"/>
  <c r="I146" i="17"/>
  <c r="I145" i="17"/>
  <c r="I144" i="17"/>
  <c r="I151" i="17" s="1"/>
  <c r="F137" i="17"/>
  <c r="E137" i="17"/>
  <c r="D137" i="17"/>
  <c r="G136" i="17"/>
  <c r="G135" i="17"/>
  <c r="G134" i="17"/>
  <c r="G133" i="17"/>
  <c r="G132" i="17"/>
  <c r="G131" i="17"/>
  <c r="G137" i="17" s="1"/>
  <c r="L127" i="17"/>
  <c r="K127" i="17"/>
  <c r="I127" i="17"/>
  <c r="H127" i="17"/>
  <c r="G127" i="17"/>
  <c r="F127" i="17"/>
  <c r="E127" i="17"/>
  <c r="D127" i="17"/>
  <c r="L116" i="17"/>
  <c r="K116" i="17"/>
  <c r="I116" i="17"/>
  <c r="H116" i="17"/>
  <c r="G116" i="17"/>
  <c r="F116" i="17"/>
  <c r="E116" i="17"/>
  <c r="D116" i="17"/>
  <c r="M105" i="17"/>
  <c r="L105" i="17"/>
  <c r="K105" i="17"/>
  <c r="J105" i="17"/>
  <c r="I105" i="17"/>
  <c r="H105" i="17"/>
  <c r="G105" i="17"/>
  <c r="F105" i="17"/>
  <c r="E105" i="17"/>
  <c r="D105" i="17"/>
  <c r="K92" i="17"/>
  <c r="J92" i="17"/>
  <c r="I92" i="17"/>
  <c r="H92" i="17"/>
  <c r="G92" i="17"/>
  <c r="F92" i="17"/>
  <c r="E92" i="17"/>
  <c r="D92" i="17"/>
  <c r="O79" i="17"/>
  <c r="N79" i="17"/>
  <c r="M79" i="17"/>
  <c r="L79" i="17"/>
  <c r="K79" i="17"/>
  <c r="J79" i="17"/>
  <c r="I79" i="17"/>
  <c r="F79" i="17"/>
  <c r="E79" i="17"/>
  <c r="D79" i="17"/>
  <c r="G78" i="17"/>
  <c r="G77" i="17"/>
  <c r="G76" i="17"/>
  <c r="G75" i="17"/>
  <c r="G74" i="17"/>
  <c r="G73" i="17"/>
  <c r="G72" i="17"/>
  <c r="G79" i="17" s="1"/>
  <c r="L69" i="17"/>
  <c r="K69" i="17"/>
  <c r="I69" i="17"/>
  <c r="H69" i="17"/>
  <c r="G69" i="17"/>
  <c r="F69" i="17"/>
  <c r="E69" i="17"/>
  <c r="D69" i="17"/>
  <c r="K58" i="17"/>
  <c r="J58" i="17"/>
  <c r="I58" i="17"/>
  <c r="H58" i="17"/>
  <c r="G58" i="17"/>
  <c r="F58" i="17"/>
  <c r="E58" i="17"/>
  <c r="D58" i="17"/>
  <c r="E47" i="17"/>
  <c r="D47" i="17"/>
  <c r="F35" i="17"/>
  <c r="E35" i="17"/>
  <c r="G35" i="17" s="1"/>
  <c r="D35" i="17"/>
  <c r="G34" i="17"/>
  <c r="G33" i="17"/>
  <c r="G32" i="17"/>
  <c r="G31" i="17"/>
  <c r="G30" i="17"/>
  <c r="G29" i="17"/>
  <c r="G28" i="17"/>
  <c r="O24" i="17"/>
  <c r="N24" i="17"/>
  <c r="M24" i="17"/>
  <c r="L24" i="17"/>
  <c r="K24" i="17"/>
  <c r="J24" i="17"/>
  <c r="H24" i="17"/>
  <c r="G24" i="17"/>
  <c r="F24" i="17"/>
  <c r="D24" i="17"/>
  <c r="G23" i="17"/>
  <c r="G22" i="17"/>
  <c r="G21" i="17"/>
  <c r="G20" i="17"/>
  <c r="G19" i="17"/>
  <c r="G18" i="17"/>
  <c r="G17" i="17"/>
  <c r="I219" i="1" l="1"/>
  <c r="H219" i="1"/>
  <c r="G219" i="1"/>
  <c r="F218" i="1"/>
  <c r="E218" i="1"/>
  <c r="D218" i="1"/>
  <c r="F217" i="1"/>
  <c r="E217" i="1"/>
  <c r="F216" i="1"/>
  <c r="F213" i="1" s="1"/>
  <c r="E216" i="1"/>
  <c r="D216" i="1"/>
  <c r="F214" i="1"/>
  <c r="E214" i="1"/>
  <c r="E219" i="1" s="1"/>
  <c r="D214" i="1"/>
  <c r="D219" i="1" s="1"/>
  <c r="D213" i="1"/>
  <c r="L209" i="1"/>
  <c r="K209" i="1"/>
  <c r="J209" i="1"/>
  <c r="I209" i="1"/>
  <c r="H209" i="1"/>
  <c r="G209" i="1"/>
  <c r="F209" i="1"/>
  <c r="E209" i="1"/>
  <c r="D209" i="1"/>
  <c r="J196" i="1"/>
  <c r="H196" i="1"/>
  <c r="F196" i="1"/>
  <c r="E196" i="1"/>
  <c r="D196" i="1"/>
  <c r="G195" i="1"/>
  <c r="G194" i="1"/>
  <c r="G193" i="1"/>
  <c r="L192" i="1"/>
  <c r="L196" i="1" s="1"/>
  <c r="K192" i="1"/>
  <c r="K196" i="1" s="1"/>
  <c r="I192" i="1"/>
  <c r="I196" i="1" s="1"/>
  <c r="G192" i="1"/>
  <c r="G191" i="1"/>
  <c r="G190" i="1"/>
  <c r="G189" i="1"/>
  <c r="G196" i="1" s="1"/>
  <c r="O185" i="1"/>
  <c r="N185" i="1"/>
  <c r="M185" i="1"/>
  <c r="K185" i="1"/>
  <c r="J185" i="1"/>
  <c r="H185" i="1"/>
  <c r="F185" i="1"/>
  <c r="E185" i="1"/>
  <c r="D185" i="1"/>
  <c r="G184" i="1"/>
  <c r="G183" i="1"/>
  <c r="G182" i="1"/>
  <c r="L181" i="1"/>
  <c r="L185" i="1" s="1"/>
  <c r="I181" i="1"/>
  <c r="I185" i="1" s="1"/>
  <c r="H181" i="1"/>
  <c r="G181" i="1"/>
  <c r="G180" i="1"/>
  <c r="G179" i="1"/>
  <c r="G185" i="1" s="1"/>
  <c r="G178" i="1"/>
  <c r="I172" i="1"/>
  <c r="H172" i="1"/>
  <c r="G172" i="1"/>
  <c r="F172" i="1"/>
  <c r="E172" i="1"/>
  <c r="D172" i="1"/>
  <c r="K171" i="1"/>
  <c r="J171" i="1"/>
  <c r="K170" i="1"/>
  <c r="J170" i="1"/>
  <c r="K169" i="1"/>
  <c r="J169" i="1"/>
  <c r="K168" i="1"/>
  <c r="J168" i="1"/>
  <c r="K167" i="1"/>
  <c r="J167" i="1"/>
  <c r="K166" i="1"/>
  <c r="J166" i="1"/>
  <c r="K165" i="1"/>
  <c r="K172" i="1" s="1"/>
  <c r="J165" i="1"/>
  <c r="J172" i="1" s="1"/>
  <c r="J162" i="1"/>
  <c r="I162" i="1"/>
  <c r="H162" i="1"/>
  <c r="F162" i="1"/>
  <c r="E162" i="1"/>
  <c r="D162" i="1"/>
  <c r="G161" i="1"/>
  <c r="G160" i="1"/>
  <c r="G159" i="1"/>
  <c r="G158" i="1"/>
  <c r="G157" i="1"/>
  <c r="G162" i="1" s="1"/>
  <c r="G156" i="1"/>
  <c r="G155" i="1"/>
  <c r="N151" i="1"/>
  <c r="M151" i="1"/>
  <c r="L151" i="1"/>
  <c r="K151" i="1"/>
  <c r="J151" i="1"/>
  <c r="H151" i="1"/>
  <c r="G151" i="1"/>
  <c r="F151" i="1"/>
  <c r="E151" i="1"/>
  <c r="D151" i="1"/>
  <c r="I150" i="1"/>
  <c r="I149" i="1"/>
  <c r="I148" i="1"/>
  <c r="I147" i="1"/>
  <c r="I146" i="1"/>
  <c r="I145" i="1"/>
  <c r="I144" i="1"/>
  <c r="I151" i="1" s="1"/>
  <c r="F137" i="1"/>
  <c r="E137" i="1"/>
  <c r="D137" i="1"/>
  <c r="G136" i="1"/>
  <c r="G135" i="1"/>
  <c r="G134" i="1"/>
  <c r="G133" i="1"/>
  <c r="D133" i="1"/>
  <c r="D132" i="1"/>
  <c r="G132" i="1" s="1"/>
  <c r="G131" i="1"/>
  <c r="G137" i="1" s="1"/>
  <c r="L127" i="1"/>
  <c r="K127" i="1"/>
  <c r="I127" i="1"/>
  <c r="H127" i="1"/>
  <c r="G127" i="1"/>
  <c r="F127" i="1"/>
  <c r="E127" i="1"/>
  <c r="D127" i="1"/>
  <c r="L116" i="1"/>
  <c r="K116" i="1"/>
  <c r="I116" i="1"/>
  <c r="H116" i="1"/>
  <c r="G116" i="1"/>
  <c r="F116" i="1"/>
  <c r="E116" i="1"/>
  <c r="D116" i="1"/>
  <c r="M105" i="1"/>
  <c r="L105" i="1"/>
  <c r="K105" i="1"/>
  <c r="J105" i="1"/>
  <c r="I105" i="1"/>
  <c r="H105" i="1"/>
  <c r="G105" i="1"/>
  <c r="F105" i="1"/>
  <c r="E105" i="1"/>
  <c r="D105" i="1"/>
  <c r="K92" i="1"/>
  <c r="J92" i="1"/>
  <c r="I92" i="1"/>
  <c r="H92" i="1"/>
  <c r="G92" i="1"/>
  <c r="F92" i="1"/>
  <c r="E92" i="1"/>
  <c r="D92" i="1"/>
  <c r="N79" i="1"/>
  <c r="M79" i="1"/>
  <c r="L79" i="1"/>
  <c r="J79" i="1"/>
  <c r="I79" i="1"/>
  <c r="F79" i="1"/>
  <c r="E79" i="1"/>
  <c r="G78" i="1"/>
  <c r="G77" i="1"/>
  <c r="G76" i="1"/>
  <c r="J75" i="1"/>
  <c r="H75" i="1"/>
  <c r="G75" i="1"/>
  <c r="D75" i="1"/>
  <c r="O74" i="1"/>
  <c r="O79" i="1" s="1"/>
  <c r="K74" i="1"/>
  <c r="G74" i="1"/>
  <c r="D74" i="1"/>
  <c r="K73" i="1"/>
  <c r="K79" i="1" s="1"/>
  <c r="H73" i="1"/>
  <c r="H79" i="1" s="1"/>
  <c r="G73" i="1"/>
  <c r="D73" i="1"/>
  <c r="D79" i="1" s="1"/>
  <c r="G72" i="1"/>
  <c r="G79" i="1" s="1"/>
  <c r="K69" i="1"/>
  <c r="I69" i="1"/>
  <c r="F69" i="1"/>
  <c r="E69" i="1"/>
  <c r="L65" i="1"/>
  <c r="L69" i="1" s="1"/>
  <c r="H65" i="1"/>
  <c r="H69" i="1" s="1"/>
  <c r="G65" i="1"/>
  <c r="G69" i="1" s="1"/>
  <c r="F65" i="1"/>
  <c r="E65" i="1"/>
  <c r="D65" i="1"/>
  <c r="D69" i="1" s="1"/>
  <c r="K58" i="1"/>
  <c r="J58" i="1"/>
  <c r="I58" i="1"/>
  <c r="H58" i="1"/>
  <c r="G58" i="1"/>
  <c r="F58" i="1"/>
  <c r="E58" i="1"/>
  <c r="D58" i="1"/>
  <c r="E43" i="1"/>
  <c r="D43" i="1"/>
  <c r="E42" i="1"/>
  <c r="E47" i="1" s="1"/>
  <c r="D42" i="1"/>
  <c r="E41" i="1"/>
  <c r="D41" i="1"/>
  <c r="D47" i="1" s="1"/>
  <c r="F35" i="1"/>
  <c r="G34" i="1"/>
  <c r="G33" i="1"/>
  <c r="G32" i="1"/>
  <c r="G31" i="1"/>
  <c r="D31" i="1"/>
  <c r="F30" i="1"/>
  <c r="E30" i="1"/>
  <c r="D30" i="1"/>
  <c r="G30" i="1" s="1"/>
  <c r="E29" i="1"/>
  <c r="E35" i="1" s="1"/>
  <c r="D29" i="1"/>
  <c r="G29" i="1" s="1"/>
  <c r="G28" i="1"/>
  <c r="N24" i="1"/>
  <c r="M24" i="1"/>
  <c r="L24" i="1"/>
  <c r="E24" i="1"/>
  <c r="G23" i="1"/>
  <c r="G22" i="1"/>
  <c r="G21" i="1"/>
  <c r="O20" i="1"/>
  <c r="K20" i="1"/>
  <c r="J20" i="1"/>
  <c r="J24" i="1" s="1"/>
  <c r="I20" i="1"/>
  <c r="H20" i="1"/>
  <c r="G20" i="1"/>
  <c r="D20" i="1"/>
  <c r="O19" i="1"/>
  <c r="O24" i="1" s="1"/>
  <c r="K19" i="1"/>
  <c r="I19" i="1"/>
  <c r="H19" i="1"/>
  <c r="G19" i="1"/>
  <c r="F19" i="1"/>
  <c r="F24" i="1" s="1"/>
  <c r="D19" i="1"/>
  <c r="K18" i="1"/>
  <c r="K24" i="1" s="1"/>
  <c r="I18" i="1"/>
  <c r="I24" i="1" s="1"/>
  <c r="H18" i="1"/>
  <c r="H24" i="1" s="1"/>
  <c r="E18" i="1"/>
  <c r="D18" i="1"/>
  <c r="D24" i="1" s="1"/>
  <c r="G24" i="1" s="1"/>
  <c r="G17" i="1"/>
  <c r="F219" i="1" l="1"/>
  <c r="E213" i="1"/>
  <c r="D35" i="1"/>
  <c r="G35" i="1" s="1"/>
  <c r="G18" i="1"/>
  <c r="I219" i="18" l="1"/>
  <c r="H219" i="18"/>
  <c r="G219" i="18"/>
  <c r="F219" i="18"/>
  <c r="E219" i="18"/>
  <c r="D219" i="18"/>
  <c r="L209" i="18"/>
  <c r="I209" i="18"/>
  <c r="H209" i="18"/>
  <c r="E209" i="18"/>
  <c r="D209" i="18"/>
  <c r="K196" i="18"/>
  <c r="J196" i="18"/>
  <c r="I196" i="18"/>
  <c r="H196" i="18"/>
  <c r="F196" i="18"/>
  <c r="E196" i="18"/>
  <c r="D196" i="18"/>
  <c r="G195" i="18"/>
  <c r="G194" i="18"/>
  <c r="G193" i="18"/>
  <c r="G192" i="18"/>
  <c r="L192" i="18" s="1"/>
  <c r="L196" i="18" s="1"/>
  <c r="L191" i="18"/>
  <c r="G191" i="18"/>
  <c r="G190" i="18"/>
  <c r="G189" i="18"/>
  <c r="G196" i="18" s="1"/>
  <c r="O185" i="18"/>
  <c r="N185" i="18"/>
  <c r="M185" i="18"/>
  <c r="L185" i="18"/>
  <c r="K185" i="18"/>
  <c r="J185" i="18"/>
  <c r="I185" i="18"/>
  <c r="H185" i="18"/>
  <c r="F185" i="18"/>
  <c r="E185" i="18"/>
  <c r="D185" i="18"/>
  <c r="G184" i="18"/>
  <c r="G183" i="18"/>
  <c r="G182" i="18"/>
  <c r="G181" i="18"/>
  <c r="G180" i="18"/>
  <c r="G179" i="18"/>
  <c r="G178" i="18"/>
  <c r="G185" i="18" s="1"/>
  <c r="J162" i="18"/>
  <c r="I162" i="18"/>
  <c r="H162" i="18"/>
  <c r="F162" i="18"/>
  <c r="E162" i="18"/>
  <c r="D162" i="18"/>
  <c r="G161" i="18"/>
  <c r="G160" i="18"/>
  <c r="G159" i="18"/>
  <c r="G158" i="18"/>
  <c r="G157" i="18"/>
  <c r="G156" i="18"/>
  <c r="G162" i="18" s="1"/>
  <c r="G155" i="18"/>
  <c r="N151" i="18"/>
  <c r="M151" i="18"/>
  <c r="L151" i="18"/>
  <c r="K151" i="18"/>
  <c r="J151" i="18"/>
  <c r="H151" i="18"/>
  <c r="G151" i="18"/>
  <c r="F151" i="18"/>
  <c r="E151" i="18"/>
  <c r="D151" i="18"/>
  <c r="I150" i="18"/>
  <c r="I149" i="18"/>
  <c r="I148" i="18"/>
  <c r="I147" i="18"/>
  <c r="I146" i="18"/>
  <c r="I145" i="18"/>
  <c r="I144" i="18"/>
  <c r="I151" i="18" s="1"/>
  <c r="F137" i="18"/>
  <c r="E137" i="18"/>
  <c r="D137" i="18"/>
  <c r="G136" i="18"/>
  <c r="G135" i="18"/>
  <c r="G134" i="18"/>
  <c r="G133" i="18"/>
  <c r="G132" i="18"/>
  <c r="G137" i="18" s="1"/>
  <c r="G131" i="18"/>
  <c r="L127" i="18"/>
  <c r="K127" i="18"/>
  <c r="I127" i="18"/>
  <c r="H127" i="18"/>
  <c r="G127" i="18"/>
  <c r="F127" i="18"/>
  <c r="E127" i="18"/>
  <c r="D127" i="18"/>
  <c r="L116" i="18"/>
  <c r="K116" i="18"/>
  <c r="I116" i="18"/>
  <c r="H116" i="18"/>
  <c r="G116" i="18"/>
  <c r="F116" i="18"/>
  <c r="E116" i="18"/>
  <c r="D116" i="18"/>
  <c r="M105" i="18"/>
  <c r="L105" i="18"/>
  <c r="K105" i="18"/>
  <c r="J105" i="18"/>
  <c r="I105" i="18"/>
  <c r="H105" i="18"/>
  <c r="G105" i="18"/>
  <c r="F105" i="18"/>
  <c r="E105" i="18"/>
  <c r="D105" i="18"/>
  <c r="K92" i="18"/>
  <c r="J92" i="18"/>
  <c r="I92" i="18"/>
  <c r="H92" i="18"/>
  <c r="G92" i="18"/>
  <c r="F92" i="18"/>
  <c r="E92" i="18"/>
  <c r="D92" i="18"/>
  <c r="O79" i="18"/>
  <c r="N79" i="18"/>
  <c r="M79" i="18"/>
  <c r="L79" i="18"/>
  <c r="K79" i="18"/>
  <c r="J79" i="18"/>
  <c r="I79" i="18"/>
  <c r="F79" i="18"/>
  <c r="E79" i="18"/>
  <c r="D79" i="18"/>
  <c r="G74" i="18"/>
  <c r="G73" i="18"/>
  <c r="G79" i="18" s="1"/>
  <c r="L69" i="18"/>
  <c r="K69" i="18"/>
  <c r="I69" i="18"/>
  <c r="H69" i="18"/>
  <c r="G69" i="18"/>
  <c r="F69" i="18"/>
  <c r="E69" i="18"/>
  <c r="D69" i="18"/>
  <c r="K58" i="18"/>
  <c r="J58" i="18"/>
  <c r="I58" i="18"/>
  <c r="H58" i="18"/>
  <c r="G58" i="18"/>
  <c r="F58" i="18"/>
  <c r="E58" i="18"/>
  <c r="D58" i="18"/>
  <c r="E47" i="18"/>
  <c r="D47" i="18"/>
  <c r="F35" i="18"/>
  <c r="G35" i="18" s="1"/>
  <c r="E35" i="18"/>
  <c r="D35" i="18"/>
  <c r="G34" i="18"/>
  <c r="G33" i="18"/>
  <c r="G32" i="18"/>
  <c r="G31" i="18"/>
  <c r="G30" i="18"/>
  <c r="G29" i="18"/>
  <c r="G28" i="18"/>
  <c r="O24" i="18"/>
  <c r="N24" i="18"/>
  <c r="M24" i="18"/>
  <c r="L24" i="18"/>
  <c r="K24" i="18"/>
  <c r="J24" i="18"/>
  <c r="I24" i="18"/>
  <c r="H24" i="18"/>
  <c r="F24" i="18"/>
  <c r="E24" i="18"/>
  <c r="D24" i="18"/>
  <c r="G24" i="18" s="1"/>
  <c r="G23" i="18"/>
  <c r="G22" i="18"/>
  <c r="G21" i="18"/>
  <c r="G20" i="18"/>
  <c r="G19" i="18"/>
  <c r="G18" i="18"/>
  <c r="G17" i="18"/>
</calcChain>
</file>

<file path=xl/comments1.xml><?xml version="1.0" encoding="utf-8"?>
<comments xmlns="http://schemas.openxmlformats.org/spreadsheetml/2006/main">
  <authors>
    <author>Klaudia Jędrzejewska</author>
  </authors>
  <commentList>
    <comment ref="O20" authorId="0" shapeId="0">
      <text>
        <r>
          <rPr>
            <b/>
            <sz val="9"/>
            <color indexed="81"/>
            <rFont val="Tahoma"/>
            <family val="2"/>
            <charset val="238"/>
          </rPr>
          <t>Klaudia Jędrzejewska:</t>
        </r>
        <r>
          <rPr>
            <sz val="9"/>
            <color indexed="81"/>
            <rFont val="Tahoma"/>
            <family val="2"/>
            <charset val="238"/>
          </rPr>
          <t xml:space="preserve">
Imprezy dofinansowane w ramach konkursu "Wieś na weekend'2017" mające na celu promowanie i informowanie o rezultatach PROW oraz imprezy realizowane w ramach PK</t>
        </r>
      </text>
    </comment>
    <comment ref="L65" authorId="0" shapeId="0">
      <text>
        <r>
          <rPr>
            <b/>
            <sz val="9"/>
            <color indexed="81"/>
            <rFont val="Tahoma"/>
            <family val="2"/>
            <charset val="238"/>
          </rPr>
          <t>Klaudia Jędrzejewska:</t>
        </r>
        <r>
          <rPr>
            <sz val="9"/>
            <color indexed="81"/>
            <rFont val="Tahoma"/>
            <family val="2"/>
            <charset val="238"/>
          </rPr>
          <t xml:space="preserve">
Album,  w którym w sposób graficzny i opisowy przedstawione zostały najciekawsze operacje współfinansowane ze środków PROW 2014-2020. Publikacja zawiera tekst i fotografie opisujące najciekawsze projekty zrealizowane przy współudziale środków Programu Rozwoju Obszarów Wiejskich 2014-2020. </t>
        </r>
      </text>
    </comment>
    <comment ref="O75" authorId="0" shapeId="0">
      <text>
        <r>
          <rPr>
            <b/>
            <sz val="9"/>
            <color indexed="81"/>
            <rFont val="Tahoma"/>
            <family val="2"/>
            <charset val="238"/>
          </rPr>
          <t>Klaudia Jędrzejewska:</t>
        </r>
        <r>
          <rPr>
            <sz val="9"/>
            <color indexed="81"/>
            <rFont val="Tahoma"/>
            <family val="2"/>
            <charset val="238"/>
          </rPr>
          <t xml:space="preserve">
Felietony w programie Agroregion, mające na celu promowanie i informowanie o rezultatach PROW </t>
        </r>
      </text>
    </comment>
  </commentList>
</comments>
</file>

<file path=xl/comments2.xml><?xml version="1.0" encoding="utf-8"?>
<comments xmlns="http://schemas.openxmlformats.org/spreadsheetml/2006/main">
  <authors>
    <author>Beata Adamska</author>
  </authors>
  <commentList>
    <comment ref="F19" authorId="0" shapeId="0">
      <text>
        <r>
          <rPr>
            <b/>
            <sz val="9"/>
            <color indexed="81"/>
            <rFont val="Tahoma"/>
            <family val="2"/>
            <charset val="238"/>
          </rPr>
          <t>Beata Adamska:</t>
        </r>
        <r>
          <rPr>
            <sz val="9"/>
            <color indexed="81"/>
            <rFont val="Tahoma"/>
            <family val="2"/>
            <charset val="238"/>
          </rPr>
          <t xml:space="preserve">
Ekogala, Dubiecko</t>
        </r>
      </text>
    </comment>
  </commentList>
</comments>
</file>

<file path=xl/comments3.xml><?xml version="1.0" encoding="utf-8"?>
<comments xmlns="http://schemas.openxmlformats.org/spreadsheetml/2006/main">
  <authors>
    <author>Sacharczuk Ewa</author>
  </authors>
  <commentList>
    <comment ref="D18" authorId="0" shapeId="0">
      <text>
        <r>
          <rPr>
            <b/>
            <sz val="9"/>
            <color indexed="81"/>
            <rFont val="Tahoma"/>
            <family val="2"/>
            <charset val="238"/>
          </rPr>
          <t>Sacharczuk Ewa:</t>
        </r>
        <r>
          <rPr>
            <sz val="9"/>
            <color indexed="81"/>
            <rFont val="Tahoma"/>
            <family val="2"/>
            <charset val="238"/>
          </rPr>
          <t xml:space="preserve">
Nowoczesna i tradycyjna,"Natura na talerzu  - Kiermasz zdrowej Żywności", III Targi Leśne „Las i My”, Konferencja: „Sztuka mediacji, Podlaskie Konferencje Ekoturystyczne, 4 X punkty terenowe, Konferencja Inauguracyjna PROW</t>
        </r>
      </text>
    </comment>
    <comment ref="E18" authorId="0" shapeId="0">
      <text>
        <r>
          <rPr>
            <b/>
            <sz val="9"/>
            <color indexed="81"/>
            <rFont val="Tahoma"/>
            <family val="2"/>
            <charset val="238"/>
          </rPr>
          <t>Sacharczuk Ewa:</t>
        </r>
        <r>
          <rPr>
            <sz val="9"/>
            <color indexed="81"/>
            <rFont val="Tahoma"/>
            <family val="2"/>
            <charset val="238"/>
          </rPr>
          <t xml:space="preserve">
Targi Smaki Regionów oraz Natura Food</t>
        </r>
      </text>
    </comment>
    <comment ref="D41" authorId="0" shapeId="0">
      <text>
        <r>
          <rPr>
            <b/>
            <sz val="9"/>
            <color indexed="81"/>
            <rFont val="Tahoma"/>
            <family val="2"/>
            <charset val="238"/>
          </rPr>
          <t>Sacharczuk Ewa:</t>
        </r>
        <r>
          <rPr>
            <sz val="9"/>
            <color indexed="81"/>
            <rFont val="Tahoma"/>
            <family val="2"/>
            <charset val="238"/>
          </rPr>
          <t xml:space="preserve">
Brak Danych z Jednostki Centralnej, natomiast strona Jednostki Regionalnej jeszcze nie została uruchomiona</t>
        </r>
      </text>
    </comment>
    <comment ref="D42" authorId="0" shapeId="0">
      <text>
        <r>
          <rPr>
            <b/>
            <sz val="9"/>
            <color indexed="81"/>
            <rFont val="Tahoma"/>
            <family val="2"/>
            <charset val="238"/>
          </rPr>
          <t>Sacharczuk Ewa:</t>
        </r>
        <r>
          <rPr>
            <sz val="9"/>
            <color indexed="81"/>
            <rFont val="Tahoma"/>
            <family val="2"/>
            <charset val="238"/>
          </rPr>
          <t xml:space="preserve">
- strona KSOW 8 612
- strona PROW 5 698</t>
        </r>
      </text>
    </comment>
    <comment ref="E42" authorId="0" shapeId="0">
      <text>
        <r>
          <rPr>
            <b/>
            <sz val="9"/>
            <color indexed="81"/>
            <rFont val="Tahoma"/>
            <family val="2"/>
            <charset val="238"/>
          </rPr>
          <t>Sacharczuk Ewa:</t>
        </r>
        <r>
          <rPr>
            <sz val="9"/>
            <color indexed="81"/>
            <rFont val="Tahoma"/>
            <family val="2"/>
            <charset val="238"/>
          </rPr>
          <t xml:space="preserve">
- strona KSOW 5 384
- strona PROW 1 301</t>
        </r>
      </text>
    </comment>
    <comment ref="D43" authorId="0" shapeId="0">
      <text>
        <r>
          <rPr>
            <b/>
            <sz val="9"/>
            <color indexed="81"/>
            <rFont val="Tahoma"/>
            <family val="2"/>
            <charset val="238"/>
          </rPr>
          <t>Sacharczuk Ewa:</t>
        </r>
        <r>
          <rPr>
            <sz val="9"/>
            <color indexed="81"/>
            <rFont val="Tahoma"/>
            <family val="2"/>
            <charset val="238"/>
          </rPr>
          <t xml:space="preserve">
- strona KSOW 8 361
- strona PROW 26 448</t>
        </r>
      </text>
    </comment>
    <comment ref="E43" authorId="0" shapeId="0">
      <text>
        <r>
          <rPr>
            <b/>
            <sz val="9"/>
            <color indexed="81"/>
            <rFont val="Tahoma"/>
            <family val="2"/>
            <charset val="238"/>
          </rPr>
          <t>Sacharczuk Ewa:</t>
        </r>
        <r>
          <rPr>
            <sz val="9"/>
            <color indexed="81"/>
            <rFont val="Tahoma"/>
            <family val="2"/>
            <charset val="238"/>
          </rPr>
          <t xml:space="preserve">
- strona KSOW 4 627
- strona PROW 4 601</t>
        </r>
      </text>
    </comment>
    <comment ref="D65" authorId="0" shapeId="0">
      <text>
        <r>
          <rPr>
            <b/>
            <sz val="9"/>
            <color indexed="81"/>
            <rFont val="Tahoma"/>
            <family val="2"/>
            <charset val="238"/>
          </rPr>
          <t>Sacharczuk Ewa:</t>
        </r>
        <r>
          <rPr>
            <sz val="9"/>
            <color indexed="81"/>
            <rFont val="Tahoma"/>
            <family val="2"/>
            <charset val="238"/>
          </rPr>
          <t xml:space="preserve">
Sery Korycińskie - jak je ugryźć? - publikacja</t>
        </r>
      </text>
    </comment>
    <comment ref="F73" authorId="0" shapeId="0">
      <text>
        <r>
          <rPr>
            <b/>
            <sz val="9"/>
            <color indexed="81"/>
            <rFont val="Tahoma"/>
            <family val="2"/>
            <charset val="238"/>
          </rPr>
          <t>Sacharczuk Ewa:</t>
        </r>
        <r>
          <rPr>
            <sz val="9"/>
            <color indexed="81"/>
            <rFont val="Tahoma"/>
            <family val="2"/>
            <charset val="238"/>
          </rPr>
          <t xml:space="preserve">
Pod pojęciem "Inne"  uwzględniono następujące narzedzia komunikacyjne: internet - opublikowano 10 artykułów/reklam internetowych  oraz utworzono przeglądarkę działań PROW 2014-2020, przeprowadzono kampanie bezpieczna praca w gospodarstwie, prasa - opublikowano 9 artykułów prasowych, zakupiono 13 tablic informacyjnych dla beneficjentów.</t>
        </r>
      </text>
    </comment>
    <comment ref="O73" authorId="0" shapeId="0">
      <text>
        <r>
          <rPr>
            <b/>
            <sz val="9"/>
            <color indexed="81"/>
            <rFont val="Tahoma"/>
            <family val="2"/>
            <charset val="238"/>
          </rPr>
          <t>Sacharczuk Ewa:</t>
        </r>
        <r>
          <rPr>
            <sz val="9"/>
            <color indexed="81"/>
            <rFont val="Tahoma"/>
            <family val="2"/>
            <charset val="238"/>
          </rPr>
          <t xml:space="preserve">
Do kategorii "Inne lub mieszane" zaliczają się w szczególności informacje na temat działań i poddziałań PROW 2014-2020 wdrażanych przez poszczególne instytucje oraz kampania informacyjna bezpieczna praca w gospodarstwie.  </t>
        </r>
      </text>
    </comment>
    <comment ref="D75" authorId="0" shapeId="0">
      <text>
        <r>
          <rPr>
            <b/>
            <sz val="9"/>
            <color indexed="81"/>
            <rFont val="Tahoma"/>
            <family val="2"/>
            <charset val="238"/>
          </rPr>
          <t>Sacharczuk Ewa:</t>
        </r>
        <r>
          <rPr>
            <sz val="9"/>
            <color indexed="81"/>
            <rFont val="Tahoma"/>
            <family val="2"/>
            <charset val="238"/>
          </rPr>
          <t xml:space="preserve">
4 Filmy z Wizyty studyjnej OZE</t>
        </r>
      </text>
    </comment>
    <comment ref="E75" authorId="0" shapeId="0">
      <text>
        <r>
          <rPr>
            <b/>
            <sz val="9"/>
            <color indexed="81"/>
            <rFont val="Tahoma"/>
            <family val="2"/>
            <charset val="238"/>
          </rPr>
          <t>Sacharczuk Ewa:</t>
        </r>
        <r>
          <rPr>
            <sz val="9"/>
            <color indexed="81"/>
            <rFont val="Tahoma"/>
            <family val="2"/>
            <charset val="238"/>
          </rPr>
          <t xml:space="preserve">
Olimpiada Aktywności Wiejskiej - 1 oraz Olimpiada Młodych Producentów - 1 Konkurs Podlaska Agroliga - 1 </t>
        </r>
      </text>
    </comment>
    <comment ref="F75" authorId="0" shapeId="0">
      <text>
        <r>
          <rPr>
            <b/>
            <sz val="9"/>
            <color indexed="81"/>
            <rFont val="Tahoma"/>
            <family val="2"/>
            <charset val="238"/>
          </rPr>
          <t>Sacharczuk Ewa:</t>
        </r>
        <r>
          <rPr>
            <sz val="9"/>
            <color indexed="81"/>
            <rFont val="Tahoma"/>
            <family val="2"/>
            <charset val="238"/>
          </rPr>
          <t xml:space="preserve">
Kampania informacyjna - 1, Artykuły pracowe 8, Artykuły internetowe 14</t>
        </r>
      </text>
    </comment>
    <comment ref="D132" authorId="0" shapeId="0">
      <text>
        <r>
          <rPr>
            <b/>
            <sz val="9"/>
            <color indexed="81"/>
            <rFont val="Tahoma"/>
            <family val="2"/>
            <charset val="238"/>
          </rPr>
          <t>Sacharczuk Ewa:</t>
        </r>
        <r>
          <rPr>
            <sz val="9"/>
            <color indexed="81"/>
            <rFont val="Tahoma"/>
            <family val="2"/>
            <charset val="238"/>
          </rPr>
          <t xml:space="preserve">
Organizowaliśmy 7 posiedzeń obiegowo w których kazdorazowo głosowali wszyscy członkowie grupy (47 osób).</t>
        </r>
      </text>
    </comment>
    <comment ref="D133" authorId="0" shapeId="0">
      <text>
        <r>
          <rPr>
            <b/>
            <sz val="9"/>
            <color indexed="81"/>
            <rFont val="Tahoma"/>
            <family val="2"/>
            <charset val="238"/>
          </rPr>
          <t>Sacharczuk Ewa:</t>
        </r>
        <r>
          <rPr>
            <sz val="9"/>
            <color indexed="81"/>
            <rFont val="Tahoma"/>
            <family val="2"/>
            <charset val="238"/>
          </rPr>
          <t xml:space="preserve">
Organizowaliśmy 7 posiedzeń w trybie obiegowym w których każdorazowo głosowali wszyscy członkowie grupy (47 osób) oraz 1 spotkanie stacjonarne w którym uczestniczyło 29 członków grupy.</t>
        </r>
      </text>
    </comment>
    <comment ref="C179" authorId="0" shapeId="0">
      <text>
        <r>
          <rPr>
            <b/>
            <sz val="9"/>
            <color indexed="81"/>
            <rFont val="Tahoma"/>
            <family val="2"/>
            <charset val="238"/>
          </rPr>
          <t>Sacharczuk Ewa:</t>
        </r>
        <r>
          <rPr>
            <sz val="9"/>
            <color indexed="81"/>
            <rFont val="Tahoma"/>
            <family val="2"/>
            <charset val="238"/>
          </rPr>
          <t xml:space="preserve">
Kategoria "inne" -  obejmuje: 1 szkolenie realizujące priorytet I, 1 spotkanie szkoleniowo-informacyjne realizujace priorytet I oraz wyjazd studyjny realizujący priotrytet 2 i 6 i wyjazd studyjny realizujący priorytet 3 i 6.</t>
        </r>
      </text>
    </comment>
    <comment ref="D179" authorId="0" shapeId="0">
      <text>
        <r>
          <rPr>
            <b/>
            <sz val="9"/>
            <color indexed="81"/>
            <rFont val="Tahoma"/>
            <family val="2"/>
            <charset val="238"/>
          </rPr>
          <t>Sacharczuk Ewa:</t>
        </r>
        <r>
          <rPr>
            <sz val="9"/>
            <color indexed="81"/>
            <rFont val="Tahoma"/>
            <family val="2"/>
            <charset val="238"/>
          </rPr>
          <t xml:space="preserve">
Szkolenie dla dziennikarzy o PROW, Szkolenie - „Innowacyjność w produkcji rolnej czynnikiem zmniejszenia zużycia zasobów”, warsztaty - Etno-design – Dochodowa tradycja</t>
        </r>
      </text>
    </comment>
    <comment ref="F179" authorId="0" shapeId="0">
      <text>
        <r>
          <rPr>
            <b/>
            <sz val="9"/>
            <color indexed="81"/>
            <rFont val="Tahoma"/>
            <family val="2"/>
            <charset val="238"/>
          </rPr>
          <t>Sacharczuk Ewa:</t>
        </r>
        <r>
          <rPr>
            <sz val="9"/>
            <color indexed="81"/>
            <rFont val="Tahoma"/>
            <family val="2"/>
            <charset val="238"/>
          </rPr>
          <t xml:space="preserve">
spotkanie szkoleniowo-informacyjne</t>
        </r>
      </text>
    </comment>
    <comment ref="F181" authorId="0" shapeId="0">
      <text>
        <r>
          <rPr>
            <b/>
            <sz val="9"/>
            <color indexed="81"/>
            <rFont val="Tahoma"/>
            <family val="2"/>
            <charset val="238"/>
          </rPr>
          <t>Sacharczuk Ewa:</t>
        </r>
        <r>
          <rPr>
            <sz val="9"/>
            <color indexed="81"/>
            <rFont val="Tahoma"/>
            <family val="2"/>
            <charset val="238"/>
          </rPr>
          <t xml:space="preserve">
3 - Spotkania informacyjne, 1 Seminarium, 2 Forum, 1 Konferencja, 1 Zajęcia edukacyjne, 1 - Seminarium/warsztat (Wieprzowina"</t>
        </r>
      </text>
    </comment>
    <comment ref="C190" authorId="0" shapeId="0">
      <text>
        <r>
          <rPr>
            <b/>
            <sz val="9"/>
            <color indexed="81"/>
            <rFont val="Tahoma"/>
            <family val="2"/>
            <charset val="238"/>
          </rPr>
          <t>Sacharczuk Ewa:</t>
        </r>
        <r>
          <rPr>
            <sz val="9"/>
            <color indexed="81"/>
            <rFont val="Tahoma"/>
            <family val="2"/>
            <charset val="238"/>
          </rPr>
          <t xml:space="preserve">
Kategoria "inne" obejmuje mieszkańców obszarów wiejskich, przedstawicieli IW oraz dziennikarzy.</t>
        </r>
      </text>
    </comment>
  </commentList>
</comments>
</file>

<file path=xl/comments4.xml><?xml version="1.0" encoding="utf-8"?>
<comments xmlns="http://schemas.openxmlformats.org/spreadsheetml/2006/main">
  <authors>
    <author>Milczarek-Bortnowska Dominika</author>
  </authors>
  <commentList>
    <comment ref="K65" authorId="0" shapeId="0">
      <text>
        <r>
          <rPr>
            <b/>
            <sz val="9"/>
            <color indexed="81"/>
            <rFont val="Tahoma"/>
            <family val="2"/>
            <charset val="238"/>
          </rPr>
          <t>Milczarek-Bortnowska Dominika:</t>
        </r>
        <r>
          <rPr>
            <sz val="9"/>
            <color indexed="81"/>
            <rFont val="Tahoma"/>
            <family val="2"/>
            <charset val="238"/>
          </rPr>
          <t xml:space="preserve">
Monitor oraz EUROProwincja</t>
        </r>
      </text>
    </comment>
  </commentList>
</comments>
</file>

<file path=xl/comments5.xml><?xml version="1.0" encoding="utf-8"?>
<comments xmlns="http://schemas.openxmlformats.org/spreadsheetml/2006/main">
  <authors>
    <author>d.mularczyk</author>
  </authors>
  <commentList>
    <comment ref="L213" authorId="0" shapeId="0">
      <text>
        <r>
          <rPr>
            <b/>
            <sz val="9"/>
            <color indexed="81"/>
            <rFont val="Tahoma"/>
            <family val="2"/>
            <charset val="238"/>
          </rPr>
          <t>d.mularczyk:</t>
        </r>
        <r>
          <rPr>
            <sz val="9"/>
            <color indexed="81"/>
            <rFont val="Tahoma"/>
            <family val="2"/>
            <charset val="238"/>
          </rPr>
          <t xml:space="preserve">
niezgodność z załącznikiem 1</t>
        </r>
      </text>
    </comment>
  </commentList>
</comments>
</file>

<file path=xl/comments6.xml><?xml version="1.0" encoding="utf-8"?>
<comments xmlns="http://schemas.openxmlformats.org/spreadsheetml/2006/main">
  <authors>
    <author>d.mularczyk</author>
  </authors>
  <commentList>
    <comment ref="R180" authorId="0" shapeId="0">
      <text>
        <r>
          <rPr>
            <b/>
            <sz val="9"/>
            <color indexed="81"/>
            <rFont val="Tahoma"/>
            <family val="2"/>
            <charset val="238"/>
          </rPr>
          <t>d.mularczyk:</t>
        </r>
        <r>
          <rPr>
            <sz val="9"/>
            <color indexed="81"/>
            <rFont val="Tahoma"/>
            <family val="2"/>
            <charset val="238"/>
          </rPr>
          <t xml:space="preserve">
czy dni szkoleniowych tyle samo co szkoleń? </t>
        </r>
      </text>
    </comment>
  </commentList>
</comments>
</file>

<file path=xl/sharedStrings.xml><?xml version="1.0" encoding="utf-8"?>
<sst xmlns="http://schemas.openxmlformats.org/spreadsheetml/2006/main" count="9836" uniqueCount="598">
  <si>
    <t>Wspólna Statystyka Sieci Obszarów Wiejskich</t>
  </si>
  <si>
    <t>Agencja Restrukturyzacji i Modernizacji Rolnictwa</t>
  </si>
  <si>
    <t>Ogólne Wytyczne</t>
  </si>
  <si>
    <r>
      <rPr>
        <b/>
        <u/>
        <sz val="12"/>
        <color indexed="8"/>
        <rFont val="Calibri"/>
        <family val="2"/>
        <charset val="238"/>
      </rPr>
      <t>Cel i kontekst Wspólnej Statystyki Sieci</t>
    </r>
    <r>
      <rPr>
        <sz val="12"/>
        <color indexed="8"/>
        <rFont val="Calibri"/>
        <family val="2"/>
      </rPr>
      <t xml:space="preserve">
Wspólna Statystyka Sieci została opracowana przez Punkt Kontaktowy ENRD we współpracy z jednostkami wspierającymi sieci w Państwach Członkowskich UE w celu uzyskania całościowego obrazu dokonań KSOW. Informacja ta zostanie wykorzystana do podsumowania i oceny działań sieci, a także umożliwi porównywanie sieci w różnych krajach UE.
</t>
    </r>
    <r>
      <rPr>
        <b/>
        <u/>
        <sz val="12"/>
        <color indexed="8"/>
        <rFont val="Calibri"/>
        <family val="2"/>
        <charset val="238"/>
      </rPr>
      <t>Powiązania między Wspólną Statystyką Sieci i obligatoryjnymi wskaźnikami monitorowania określonymi w rozporządzeniu wykonawczym KE (UE) nr 808/2014</t>
    </r>
    <r>
      <rPr>
        <sz val="12"/>
        <color indexed="8"/>
        <rFont val="Calibri"/>
        <family val="2"/>
      </rPr>
      <t xml:space="preserve">
Celem Wspólnej Statystyki Sieci jest ułatwienie zbierania danych do obligatoryjnych wskaźników. Wszystkie podmioty zaangażowane w realizację zadań sieci wypełniają tylko arkusz </t>
    </r>
    <r>
      <rPr>
        <i/>
        <sz val="12"/>
        <color indexed="8"/>
        <rFont val="Calibri"/>
        <family val="2"/>
        <charset val="238"/>
      </rPr>
      <t xml:space="preserve">"Wspólna Statystyka Sieci". </t>
    </r>
    <r>
      <rPr>
        <sz val="12"/>
        <color indexed="8"/>
        <rFont val="Calibri"/>
        <family val="2"/>
      </rPr>
      <t xml:space="preserve">
</t>
    </r>
    <r>
      <rPr>
        <b/>
        <u/>
        <sz val="12"/>
        <color indexed="8"/>
        <rFont val="Calibri"/>
        <family val="2"/>
        <charset val="238"/>
      </rPr>
      <t>Definicje i wytyczne do poszczególnych wskaźników</t>
    </r>
    <r>
      <rPr>
        <sz val="12"/>
        <color indexed="8"/>
        <rFont val="Calibri"/>
        <family val="2"/>
      </rPr>
      <t xml:space="preserve">
W opisie poszczególnych wskaźników/mierników znajdują się wytyczne dla każdego wskaźnika. W sytuacji, kiedy wytyczne nie są jasne albo mierniki/wskaźniki nie są możliwe do uzupełnienia - prosimy wypełnić rubrykę "K</t>
    </r>
    <r>
      <rPr>
        <i/>
        <sz val="12"/>
        <color indexed="8"/>
        <rFont val="Calibri"/>
        <family val="2"/>
        <charset val="238"/>
      </rPr>
      <t>omentarze"</t>
    </r>
    <r>
      <rPr>
        <sz val="12"/>
        <color indexed="8"/>
        <rFont val="Calibri"/>
        <family val="2"/>
      </rPr>
      <t xml:space="preserve">. 
 Zakres tematyczny został powiązany z priorytetami PROW 2014-2020.
</t>
    </r>
    <r>
      <rPr>
        <b/>
        <u/>
        <sz val="12"/>
        <color indexed="8"/>
        <rFont val="Calibri"/>
        <family val="2"/>
        <charset val="238"/>
      </rPr>
      <t>Udział w budżecie</t>
    </r>
    <r>
      <rPr>
        <b/>
        <sz val="12"/>
        <color indexed="8"/>
        <rFont val="Calibri"/>
        <family val="2"/>
      </rPr>
      <t xml:space="preserve">
</t>
    </r>
    <r>
      <rPr>
        <sz val="12"/>
        <color indexed="8"/>
        <rFont val="Calibri"/>
        <family val="2"/>
        <charset val="238"/>
      </rPr>
      <t>Szacowany podział budżetu (Tabela 8) ma na celu dostarczenie informacji jak proporcjonalnie środki</t>
    </r>
    <r>
      <rPr>
        <b/>
        <sz val="12"/>
        <color indexed="8"/>
        <rFont val="Calibri"/>
        <family val="2"/>
      </rPr>
      <t xml:space="preserve"> </t>
    </r>
    <r>
      <rPr>
        <sz val="12"/>
        <color indexed="8"/>
        <rFont val="Calibri"/>
        <family val="2"/>
        <charset val="238"/>
      </rPr>
      <t>rocznego budżetu sieci zostały przeznaczone na odpowiednie działania objęte wskaźnikami. Proszę podaj budzet dla poszczególnych kategorii i wskaż trudności w komentarzu.</t>
    </r>
    <r>
      <rPr>
        <sz val="12"/>
        <color indexed="8"/>
        <rFont val="Calibri"/>
        <family val="2"/>
      </rPr>
      <t xml:space="preserve">
</t>
    </r>
    <r>
      <rPr>
        <b/>
        <u/>
        <sz val="12"/>
        <color indexed="8"/>
        <rFont val="Calibri"/>
        <family val="2"/>
        <charset val="238"/>
      </rPr>
      <t>Dostępność danych</t>
    </r>
    <r>
      <rPr>
        <b/>
        <sz val="12"/>
        <color indexed="8"/>
        <rFont val="Calibri"/>
        <family val="2"/>
      </rPr>
      <t xml:space="preserve">
</t>
    </r>
    <r>
      <rPr>
        <sz val="12"/>
        <color indexed="8"/>
        <rFont val="Calibri"/>
        <family val="2"/>
        <charset val="238"/>
      </rPr>
      <t>Nie wszystkie wskaźniki odnoszą się do wszystkich podmiotów i w wielu przypadkach dane mogą być niedostępne np. niezbierane w poprzednich latach.</t>
    </r>
    <r>
      <rPr>
        <b/>
        <sz val="12"/>
        <color indexed="8"/>
        <rFont val="Calibri"/>
        <family val="2"/>
      </rPr>
      <t xml:space="preserve"> </t>
    </r>
    <r>
      <rPr>
        <sz val="12"/>
        <color indexed="8"/>
        <rFont val="Calibri"/>
        <family val="2"/>
      </rPr>
      <t xml:space="preserve"> W przypadku, kiedy nie jest możliwe podanie wartości wybranych mierników/wskaźników (brak danych) lub sieć nie prowadzi określonych działań, prosimy o posługiwanie się następującymi skrótami:
BD = brak danych; sieć prowadzi takie działania ale konkretne dane nie zostały zebrane w l. 2014 -2015 r.  
ND = nie dotyczy; ten typ działań nie jest planowany przez podmiot
0 = sieć planuje określone działania, ale w danym roku nie miały one miejsca                                                                                                                                   </t>
    </r>
  </si>
  <si>
    <t>1. Wydarzenia</t>
  </si>
  <si>
    <t>Zasięg geograficzny</t>
  </si>
  <si>
    <t>Zakres tematyczny (w tym)</t>
  </si>
  <si>
    <t>1.1 Liczba zorganizowanych wydarzeń</t>
  </si>
  <si>
    <r>
      <t>Komentarze</t>
    </r>
    <r>
      <rPr>
        <sz val="10"/>
        <color indexed="8"/>
        <rFont val="Calibri"/>
        <family val="2"/>
      </rPr>
      <t xml:space="preserve"> (proszę wskazać ewentualne trudności związane z interpretacją definicji/wskaźników; proszę wskazać co jest rozumiane przez kategorię "inne")</t>
    </r>
  </si>
  <si>
    <t>Rok</t>
  </si>
  <si>
    <t>lokalny/regionalny</t>
  </si>
  <si>
    <t>krajowy</t>
  </si>
  <si>
    <t>międzynarodowy</t>
  </si>
  <si>
    <t>SUMA</t>
  </si>
  <si>
    <t>przeznaczone dla doradców i/lub usługi wspierające innowacje (P1)</t>
  </si>
  <si>
    <t>z naciskiem na żywotność i konkurencyjność gospodarstw rolnych, łańcuch żywnościowy, przetwórstwo i marketing, zarządzanie ryzykiem (P2 i P3)</t>
  </si>
  <si>
    <t>z naciskiem na zarządzanie ekosystemami, zasoby naturalne i klimat (P4 i P5)</t>
  </si>
  <si>
    <t>z naciskiem na włączenie społeczne, redukcja ubóstwa (P6)</t>
  </si>
  <si>
    <t xml:space="preserve">z naciskiem na LEADER/RLKS i LGD (włączając współpracę) (P6) </t>
  </si>
  <si>
    <t>z których przeznaczone dla LGD włączając wsparcie współpracy (P6)</t>
  </si>
  <si>
    <t>z naciskiem na upowszechnianie wyników monitoringu i ewaluacji</t>
  </si>
  <si>
    <t>Inne lub mieszane (proszę doprecyzuj w komentarzach)</t>
  </si>
  <si>
    <r>
      <rPr>
        <b/>
        <sz val="10"/>
        <color indexed="18"/>
        <rFont val="Calibri"/>
        <family val="2"/>
        <charset val="238"/>
      </rPr>
      <t>Wytyczne:</t>
    </r>
    <r>
      <rPr>
        <sz val="10"/>
        <color indexed="8"/>
        <rFont val="Calibri"/>
        <family val="2"/>
      </rPr>
      <t xml:space="preserve">
</t>
    </r>
    <r>
      <rPr>
        <u/>
        <sz val="10"/>
        <color indexed="8"/>
        <rFont val="Calibri"/>
        <family val="2"/>
        <charset val="238"/>
      </rPr>
      <t>Ogólne:</t>
    </r>
    <r>
      <rPr>
        <sz val="10"/>
        <color indexed="8"/>
        <rFont val="Calibri"/>
        <family val="2"/>
      </rPr>
      <t xml:space="preserve"> Kategoria powinna zawierać liczbę wy</t>
    </r>
    <r>
      <rPr>
        <sz val="10"/>
        <rFont val="Calibri"/>
        <family val="2"/>
        <charset val="238"/>
      </rPr>
      <t xml:space="preserve">darzeń, w tym konferencje, seminaria, wydarzenia grup tematycznych, wydarzenia szkoleniowe </t>
    </r>
    <r>
      <rPr>
        <sz val="10"/>
        <color indexed="8"/>
        <rFont val="Calibri"/>
        <family val="2"/>
      </rPr>
      <t>itp. a także wydarzenia o charakterze promocyjnym takie jak targi, wystawy, które orga</t>
    </r>
    <r>
      <rPr>
        <sz val="10"/>
        <rFont val="Calibri"/>
        <family val="2"/>
        <charset val="238"/>
      </rPr>
      <t xml:space="preserve">nizuje sieć lub w przypadku których sieć jest jednym z głównych organizatorów. 
</t>
    </r>
    <r>
      <rPr>
        <u/>
        <sz val="10"/>
        <rFont val="Calibri"/>
        <family val="2"/>
        <charset val="238"/>
      </rPr>
      <t>Zasięg geograficzny:</t>
    </r>
    <r>
      <rPr>
        <sz val="10"/>
        <rFont val="Calibri"/>
        <family val="2"/>
        <charset val="238"/>
      </rPr>
      <t xml:space="preserve"> liczba </t>
    </r>
    <r>
      <rPr>
        <b/>
        <sz val="10"/>
        <rFont val="Calibri"/>
        <family val="2"/>
        <charset val="238"/>
      </rPr>
      <t xml:space="preserve">wydarzeń lokalnych/regionalnych  </t>
    </r>
    <r>
      <rPr>
        <sz val="10"/>
        <rFont val="Calibri"/>
        <family val="2"/>
        <charset val="238"/>
      </rPr>
      <t>to te, których uczestnicy zapraszani są głównie z określonego regionu</t>
    </r>
    <r>
      <rPr>
        <b/>
        <sz val="10"/>
        <rFont val="Calibri"/>
        <family val="2"/>
        <charset val="238"/>
      </rPr>
      <t xml:space="preserve">; wydarzenia krajowe - </t>
    </r>
    <r>
      <rPr>
        <sz val="10"/>
        <rFont val="Calibri"/>
        <family val="2"/>
        <charset val="238"/>
      </rPr>
      <t xml:space="preserve">uczestnicy z różnych regionów kraju; </t>
    </r>
    <r>
      <rPr>
        <b/>
        <sz val="10"/>
        <rFont val="Calibri"/>
        <family val="2"/>
        <charset val="238"/>
      </rPr>
      <t xml:space="preserve">wydarzenia międzynarodowe, </t>
    </r>
    <r>
      <rPr>
        <sz val="10"/>
        <rFont val="Calibri"/>
        <family val="2"/>
        <charset val="238"/>
      </rPr>
      <t>gdy dużą liczbę</t>
    </r>
    <r>
      <rPr>
        <b/>
        <sz val="10"/>
        <rFont val="Calibri"/>
        <family val="2"/>
        <charset val="238"/>
      </rPr>
      <t xml:space="preserve"> </t>
    </r>
    <r>
      <rPr>
        <sz val="10"/>
        <rFont val="Calibri"/>
        <family val="2"/>
        <charset val="238"/>
      </rPr>
      <t xml:space="preserve"> uczestników stanowią goście z zagranicy.
</t>
    </r>
    <r>
      <rPr>
        <u/>
        <sz val="10"/>
        <rFont val="Calibri"/>
        <family val="2"/>
        <charset val="238"/>
      </rPr>
      <t>Zakres tematyczny:</t>
    </r>
    <r>
      <rPr>
        <sz val="10"/>
        <rFont val="Calibri"/>
        <family val="2"/>
        <charset val="238"/>
      </rPr>
      <t xml:space="preserve"> wydarzenia powinny być zakwalifikowane do poszczególnych kategorii tematycznych w przypadku kiedy: - rzeczywiście istniał ścisły związek danego spotkania z określonym tematem (np. cała sesja na dany temat a nie tylko jedna prezentacja). - była nakierowana na konkretną grupę  (tj. doradcy i/lub usługi wspierające innowacje lub LGD), tzn. większość uczestników reprezentuje te grupy. Jedno wydarzenie może dotyczyć więcej niż jednego tematu tzn., że ilość wszystkich wydarzeń nie musi być sumą wydarzeń w poszczególnych tematach. </t>
    </r>
  </si>
  <si>
    <t>1.2 Liczba uczestników wydarzeń</t>
  </si>
  <si>
    <r>
      <rPr>
        <b/>
        <sz val="10"/>
        <color indexed="18"/>
        <rFont val="Calibri"/>
        <family val="2"/>
        <charset val="238"/>
      </rPr>
      <t>Wytyczne:</t>
    </r>
    <r>
      <rPr>
        <sz val="10"/>
        <color indexed="8"/>
        <rFont val="Calibri"/>
        <family val="2"/>
      </rPr>
      <t xml:space="preserve">
Dotyczy liczby uczestników wydarzeń ze wskaźnika 1.1. Jeśli to możliwe proszę podać liczbę uczestników obecnych podczas spotkania na podstawie podpisanych list obecności . Jeśli to nie jest możliwe proszę użyć danych z formularzy rejestracyjnych  (liczbę zgłoszonych uczestników).                                                                                                                  </t>
    </r>
    <r>
      <rPr>
        <u/>
        <sz val="10"/>
        <color indexed="8"/>
        <rFont val="Calibri"/>
        <family val="2"/>
        <charset val="238"/>
      </rPr>
      <t>Definicja zasiegu geograficznego</t>
    </r>
    <r>
      <rPr>
        <sz val="10"/>
        <color indexed="8"/>
        <rFont val="Calibri"/>
        <family val="2"/>
      </rPr>
      <t xml:space="preserve"> - patrz wskaźnik 1.1 . </t>
    </r>
  </si>
  <si>
    <t>2. Narzędzia komunikacji</t>
  </si>
  <si>
    <t>2.1 Statystyki strony internetowej</t>
  </si>
  <si>
    <r>
      <rPr>
        <b/>
        <sz val="14"/>
        <color indexed="8"/>
        <rFont val="Calibri"/>
        <family val="2"/>
        <charset val="238"/>
      </rPr>
      <t>Komentarze</t>
    </r>
    <r>
      <rPr>
        <sz val="10"/>
        <color indexed="8"/>
        <rFont val="Calibri"/>
        <family val="2"/>
      </rPr>
      <t xml:space="preserve"> (proszę wskazać ewentualne trudności związane z interpretacją definicji/wskaźników; proszę wskazać co jest rozumiane przez kategorię "inne")</t>
    </r>
  </si>
  <si>
    <t>Liczba odwiedzin strony</t>
  </si>
  <si>
    <t>Liczba unikalnych użytkowników strony</t>
  </si>
  <si>
    <r>
      <rPr>
        <b/>
        <sz val="10"/>
        <color indexed="60"/>
        <rFont val="Calibri"/>
        <family val="2"/>
        <charset val="238"/>
      </rPr>
      <t>Wytyczne:</t>
    </r>
    <r>
      <rPr>
        <sz val="10"/>
        <color indexed="8"/>
        <rFont val="Calibri"/>
        <family val="2"/>
      </rPr>
      <t xml:space="preserve">
Statystyki odwiedzin strony internetowej za dany okres. Proszę wskazać w komentarzu jak liczone są wskażniki  (np. jeśli używane są statystyki google lub inne narzędzia danych statystycznych)</t>
    </r>
  </si>
  <si>
    <t>Dane z Google Analytics</t>
  </si>
  <si>
    <t>2.2 Media społecznościowe i fora internetowe</t>
  </si>
  <si>
    <r>
      <t xml:space="preserve">Komentarze </t>
    </r>
    <r>
      <rPr>
        <sz val="10"/>
        <color indexed="8"/>
        <rFont val="Calibri"/>
        <family val="2"/>
      </rPr>
      <t>(proszę wskazać ewentualne trudności związane z interpretacją definicji/wskaźników; proszę wskazać co jest rozumiane przez kategorię "inne")</t>
    </r>
  </si>
  <si>
    <t>Liczba używanych mediów społecznościowych</t>
  </si>
  <si>
    <t>Liczba założonych platform elektronicznych (e-forums)</t>
  </si>
  <si>
    <t>Liczba forów dyskusyjnych (w tym grup na facebooku i grupy dyskusyjne linkeldin)</t>
  </si>
  <si>
    <t>Liczba fanów na facebooku</t>
  </si>
  <si>
    <t>Liczba obserwujących Twitter</t>
  </si>
  <si>
    <t>Liczba tweetów (włączając re- tweety)</t>
  </si>
  <si>
    <t>Liczba postów na facebooku (wliczając udostępnienia)</t>
  </si>
  <si>
    <t>Liczba odwiedzin na stronie przekierowanych łącznie ze wszystkich mediów społecznościowych</t>
  </si>
  <si>
    <r>
      <rPr>
        <b/>
        <sz val="10"/>
        <color indexed="60"/>
        <rFont val="Calibri"/>
        <family val="2"/>
        <charset val="238"/>
      </rPr>
      <t xml:space="preserve">WYTYCZNE:
</t>
    </r>
    <r>
      <rPr>
        <b/>
        <sz val="10"/>
        <color indexed="8"/>
        <rFont val="Calibri"/>
        <family val="2"/>
      </rPr>
      <t xml:space="preserve">
Media społecznościowe </t>
    </r>
    <r>
      <rPr>
        <sz val="10"/>
        <color indexed="8"/>
        <rFont val="Calibri"/>
        <family val="2"/>
        <charset val="238"/>
      </rPr>
      <t>należy rozumieć jako:</t>
    </r>
    <r>
      <rPr>
        <sz val="10"/>
        <color indexed="8"/>
        <rFont val="Calibri"/>
        <family val="2"/>
      </rPr>
      <t xml:space="preserve"> facebook, twitter, linkedin, instagram, youtube itp. proszę wymienić w "K</t>
    </r>
    <r>
      <rPr>
        <i/>
        <sz val="10"/>
        <color indexed="8"/>
        <rFont val="Calibri"/>
        <family val="2"/>
        <charset val="238"/>
      </rPr>
      <t xml:space="preserve">omentarzu", </t>
    </r>
    <r>
      <rPr>
        <sz val="10"/>
        <color indexed="8"/>
        <rFont val="Calibri"/>
        <family val="2"/>
        <charset val="238"/>
      </rPr>
      <t>które z ww. mediów są używane lub nazwy innych wykorzystywanych kanałów społecznościowych</t>
    </r>
    <r>
      <rPr>
        <sz val="10"/>
        <color indexed="8"/>
        <rFont val="Calibri"/>
        <family val="2"/>
      </rPr>
      <t xml:space="preserve">.  Proszę wykazać jedynie profile/strony/konta jednostki wspierającej sieci, a nie konta osobste pracowników. Proszę tu nie wliczać grup na facebooku oraz grup dyskusyjnych na linkedin (one będą poniżej w e-forum).
</t>
    </r>
    <r>
      <rPr>
        <u/>
        <sz val="10"/>
        <color indexed="8"/>
        <rFont val="Calibri"/>
        <family val="2"/>
        <charset val="238"/>
      </rPr>
      <t>E-forums</t>
    </r>
    <r>
      <rPr>
        <sz val="10"/>
        <color indexed="8"/>
        <rFont val="Calibri"/>
        <family val="2"/>
        <charset val="238"/>
      </rPr>
      <t xml:space="preserve"> - specyficzne platformy umożliwiajace wymianę on-line pomiędzy partnerami sieci utworzone przez jednostkę wsparcia sieci (w tym grupy na facebooku i grupy dyskusyjne linkedin). P</t>
    </r>
    <r>
      <rPr>
        <sz val="10"/>
        <color indexed="8"/>
        <rFont val="Calibri"/>
        <family val="2"/>
      </rPr>
      <t xml:space="preserve">roszę wskazać liczbę forów dyskusyjnych założonych przez jednostkę wsparcia sieci na platformach.
</t>
    </r>
    <r>
      <rPr>
        <u/>
        <sz val="10"/>
        <color indexed="8"/>
        <rFont val="Calibri"/>
        <family val="2"/>
        <charset val="238"/>
      </rPr>
      <t xml:space="preserve">
Liczba fanów na Facebooku oraz liczba obserwujących Twitter</t>
    </r>
    <r>
      <rPr>
        <sz val="10"/>
        <color indexed="8"/>
        <rFont val="Calibri"/>
        <family val="2"/>
        <charset val="238"/>
      </rPr>
      <t xml:space="preserve">. Proszę przyjąć liczbę bazową na 1.01.2014 r. </t>
    </r>
    <r>
      <rPr>
        <sz val="10"/>
        <color indexed="8"/>
        <rFont val="Calibri"/>
        <family val="2"/>
      </rPr>
      <t xml:space="preserve">
</t>
    </r>
    <r>
      <rPr>
        <u/>
        <sz val="10"/>
        <color indexed="8"/>
        <rFont val="Calibri"/>
        <family val="2"/>
        <charset val="238"/>
      </rPr>
      <t>Liczba wizyt na stronie przekierowanych z mediów społecznościowych</t>
    </r>
    <r>
      <rPr>
        <sz val="10"/>
        <color indexed="8"/>
        <rFont val="Calibri"/>
        <family val="2"/>
      </rPr>
      <t xml:space="preserve"> powinna pochodzić z webanalitics.</t>
    </r>
  </si>
  <si>
    <t>1.01.2014 (bazowy)</t>
  </si>
  <si>
    <t>2.3 Liczba publikacji</t>
  </si>
  <si>
    <t>Liczba publikacji</t>
  </si>
  <si>
    <r>
      <rPr>
        <b/>
        <sz val="10"/>
        <color indexed="60"/>
        <rFont val="Calibri"/>
        <family val="2"/>
        <charset val="238"/>
      </rPr>
      <t>WYTYCZNE:</t>
    </r>
    <r>
      <rPr>
        <sz val="10"/>
        <color indexed="8"/>
        <rFont val="Calibri"/>
        <family val="2"/>
      </rPr>
      <t xml:space="preserve">
</t>
    </r>
    <r>
      <rPr>
        <u/>
        <sz val="10"/>
        <color indexed="8"/>
        <rFont val="Calibri"/>
        <family val="2"/>
        <charset val="238"/>
      </rPr>
      <t>Liczba publikacji wytworzonych przez jednostkę wsparcia sieci:</t>
    </r>
    <r>
      <rPr>
        <sz val="10"/>
        <color indexed="8"/>
        <rFont val="Calibri"/>
        <family val="2"/>
        <charset val="238"/>
      </rPr>
      <t xml:space="preserve"> dotyczy czasopism, przeglądów, newsletterów, ulotek, broszur, publikacji elektronicznych (proszę nie wliczać studium przypadku lub fiszek informacyjnych np. przykładów dobrych praktyk, będących cząścią innego opracowania); publikacja nie może być liczona dwukrotnie w przypadku, gdy powstała w dwóch wersjach: papierowej i elektronicznej.
</t>
    </r>
    <r>
      <rPr>
        <sz val="10"/>
        <color indexed="8"/>
        <rFont val="Calibri"/>
        <family val="2"/>
      </rPr>
      <t xml:space="preserve">
</t>
    </r>
    <r>
      <rPr>
        <u/>
        <sz val="10"/>
        <color indexed="8"/>
        <rFont val="Calibri"/>
        <family val="2"/>
      </rPr>
      <t xml:space="preserve">Zakres tematyczny: </t>
    </r>
    <r>
      <rPr>
        <sz val="10"/>
        <color indexed="8"/>
        <rFont val="Calibri"/>
        <family val="2"/>
        <charset val="238"/>
      </rPr>
      <t xml:space="preserve">Publikacje powinny być zawarte w poszczególnych kategoriach tematycznych jeżeli istnieje ścisły związek publikacji z określonym tematem (np. cała sekcja/rozdział poświęcony danemu tematowi a nie tylko jeden artykuł). Jedna publikacja może dotyczyć więcej niż jednego tematu tzn., że liczba wszystkich publikacji nie musi być sumą publikacji w poszczególnych tematach.                                                                                                                                                                                
</t>
    </r>
  </si>
  <si>
    <t>2.4 Liczba multimediów i innych narzędzi komunikacji</t>
  </si>
  <si>
    <r>
      <t xml:space="preserve">Komentarze </t>
    </r>
    <r>
      <rPr>
        <sz val="10"/>
        <color indexed="8"/>
        <rFont val="Calibri"/>
        <family val="2"/>
        <charset val="238"/>
      </rPr>
      <t>(proszę wskazać ewentualne trudności związane z interpretacją definicji/wskaźników; proszę wskazać co jest rozumiane przez kategorię "inne")</t>
    </r>
  </si>
  <si>
    <t>Liczba filmów/ programów telewizyjnych/audycji radiowych</t>
  </si>
  <si>
    <t xml:space="preserve">Liczba konkursów/ kategorii konkursowych </t>
  </si>
  <si>
    <r>
      <t>Liczba innych narzędzi komunikacyjnych - proszę określić jakich w "</t>
    </r>
    <r>
      <rPr>
        <i/>
        <sz val="10"/>
        <color indexed="8"/>
        <rFont val="Calibri"/>
        <family val="2"/>
        <charset val="238"/>
      </rPr>
      <t>Komentarzu"</t>
    </r>
  </si>
  <si>
    <t>Całkowita liczba multimediów i innych narzędzi komunikacji</t>
  </si>
  <si>
    <r>
      <rPr>
        <b/>
        <sz val="10"/>
        <color indexed="60"/>
        <rFont val="Calibri"/>
        <family val="2"/>
        <charset val="238"/>
      </rPr>
      <t>WYTYCZNE:</t>
    </r>
    <r>
      <rPr>
        <sz val="10"/>
        <color indexed="8"/>
        <rFont val="Calibri"/>
        <family val="2"/>
      </rPr>
      <t xml:space="preserve">
</t>
    </r>
    <r>
      <rPr>
        <u/>
        <sz val="10"/>
        <color indexed="8"/>
        <rFont val="Calibri"/>
        <family val="2"/>
        <charset val="238"/>
      </rPr>
      <t>M</t>
    </r>
    <r>
      <rPr>
        <u/>
        <sz val="10"/>
        <color indexed="8"/>
        <rFont val="Calibri"/>
        <family val="2"/>
      </rPr>
      <t>ultimedia i inne narzędzia</t>
    </r>
    <r>
      <rPr>
        <sz val="10"/>
        <color indexed="8"/>
        <rFont val="Calibri"/>
        <family val="2"/>
      </rPr>
      <t xml:space="preserve">: można tu wpisać filmy, programy TV, audycje radiowe lub liczbę organizowanych przez jednostkę wsparcia sieci konkursów np. konkurs fotograficzny, konkurs na najlepszy projekt Leader; jeśli są organizowane specjalne wydarzenia związane z konkursami np. finały konkursów można wpisać je również w kategorii 1. </t>
    </r>
    <r>
      <rPr>
        <i/>
        <sz val="10"/>
        <color indexed="8"/>
        <rFont val="Calibri"/>
        <family val="2"/>
        <charset val="238"/>
      </rPr>
      <t xml:space="preserve">"Wydarzenia". </t>
    </r>
    <r>
      <rPr>
        <sz val="10"/>
        <color indexed="8"/>
        <rFont val="Calibri"/>
        <family val="2"/>
        <charset val="238"/>
      </rPr>
      <t xml:space="preserve">Jesli wykorzystywane są inne narzędzia komunikacyjne proszę podać je w kolumnie </t>
    </r>
    <r>
      <rPr>
        <i/>
        <sz val="10"/>
        <color indexed="8"/>
        <rFont val="Calibri"/>
        <family val="2"/>
        <charset val="238"/>
      </rPr>
      <t xml:space="preserve">"Inne" </t>
    </r>
    <r>
      <rPr>
        <sz val="10"/>
        <color indexed="8"/>
        <rFont val="Calibri"/>
        <family val="2"/>
        <charset val="238"/>
      </rPr>
      <t xml:space="preserve">i wskazać jakie to są narzędzia w </t>
    </r>
    <r>
      <rPr>
        <i/>
        <sz val="10"/>
        <color indexed="8"/>
        <rFont val="Calibri"/>
        <family val="2"/>
        <charset val="238"/>
      </rPr>
      <t>"Komentarzu".</t>
    </r>
    <r>
      <rPr>
        <sz val="10"/>
        <color indexed="8"/>
        <rFont val="Calibri"/>
        <family val="2"/>
      </rPr>
      <t xml:space="preserve">
</t>
    </r>
    <r>
      <rPr>
        <u/>
        <sz val="10"/>
        <color indexed="8"/>
        <rFont val="Calibri"/>
        <family val="2"/>
        <charset val="238"/>
      </rPr>
      <t>Zakres tematyczny:</t>
    </r>
    <r>
      <rPr>
        <sz val="10"/>
        <color indexed="8"/>
        <rFont val="Calibri"/>
        <family val="2"/>
      </rPr>
      <t xml:space="preserve"> patrz w pkt. 2.3                                                                                                                                                                                
</t>
    </r>
  </si>
  <si>
    <t>Ułatwienie transferu wiedzy i innowacji w rolnictwie i leśnictwie oraz na obszarach wiejskich. Informowanie społeczeństwa i potencjalnych beneficjentów o polityce rozwoju obszarów wiejskich i o możliwościach finansowania. www.arimr.gov.pl</t>
  </si>
  <si>
    <t>3. Zbieranie, analiza i upowszechnianie dobrych praktyk</t>
  </si>
  <si>
    <t xml:space="preserve">3.1 Liczba zebranych i upowszechnionych przykładów dobrej praktyki </t>
  </si>
  <si>
    <r>
      <t>Komentarze</t>
    </r>
    <r>
      <rPr>
        <b/>
        <sz val="10"/>
        <color indexed="8"/>
        <rFont val="Calibri"/>
        <family val="2"/>
        <charset val="238"/>
      </rPr>
      <t xml:space="preserve"> </t>
    </r>
    <r>
      <rPr>
        <sz val="10"/>
        <color indexed="8"/>
        <rFont val="Calibri"/>
        <family val="2"/>
        <charset val="238"/>
      </rPr>
      <t>(proszę wskazać ewentualne trudności związane z interpretacją definicji/wskaźników; proszę wskazać co jest rozumiane przez kategorię "inne")</t>
    </r>
  </si>
  <si>
    <t xml:space="preserve">Liczba dobrych praktyk </t>
  </si>
  <si>
    <t xml:space="preserve">Z naciskiem na transfer wiedzy i innowacyjność (P1) </t>
  </si>
  <si>
    <t>Z naciskiem na żywotność gospodarstw i konkurencyjność, łańcuch żywnościowy, przetwórstwo i marketing, zarządzanie ryzykiem (P2 i P3)</t>
  </si>
  <si>
    <t>Z naciskiem na zarządzanie ekosystemami, zasoby naturalne i klimat (P4 i P5)</t>
  </si>
  <si>
    <t>Z naciskiem na włączenie społeczne, redukcja ubóstwa (P6)</t>
  </si>
  <si>
    <t>Z naciskiem na LEADER/RLKS i LGD  (włączając współpracę) (P6)</t>
  </si>
  <si>
    <t>Z naciskiem na upowszechnianie wyników monitoringu i ewaluacji</t>
  </si>
  <si>
    <t>Inne tematy lub tematy mieszane  (proszę doprecyzuj w "Komentarzu")</t>
  </si>
  <si>
    <r>
      <t>WYTYCZNE:</t>
    </r>
    <r>
      <rPr>
        <sz val="10"/>
        <rFont val="Calibri"/>
        <family val="2"/>
        <charset val="238"/>
      </rPr>
      <t xml:space="preserve">
Liczba przykładów dobrej praktyki / studium przypadku zidentyfikowanych i upowszechnionych (co najmniej na stronie internetowej KSOW). Proszę unikać podwójnego liczenia, np. jeśli określony przykład pojawił się na stronie internetowej i w broszurze, policz go raz. Tylko przykłady opracowane jako case study i opublikowane na stronie internetowej KSOW mogą być brane pod uwagę. Proszę nie liczyć przykładów wymienionych w prezentacjach lub wspomnianych podczas wydarzeń. Oferty współpracy np. poszukiwania partnerów opisujemy w kategorii "Wsparcie dla współpracy"</t>
    </r>
  </si>
  <si>
    <t>4. Wymiany tematyczne i analityczne</t>
  </si>
  <si>
    <t>4.1 Liczba utworzonych grup tematycznych i zorganizowanych spotkań</t>
  </si>
  <si>
    <r>
      <t>Komentarze</t>
    </r>
    <r>
      <rPr>
        <sz val="12"/>
        <color indexed="8"/>
        <rFont val="Calibri"/>
        <family val="2"/>
        <charset val="238"/>
      </rPr>
      <t xml:space="preserve"> (</t>
    </r>
    <r>
      <rPr>
        <sz val="10"/>
        <color indexed="8"/>
        <rFont val="Calibri"/>
        <family val="2"/>
        <charset val="238"/>
      </rPr>
      <t>proszę wskazać ewentualne trudności związane z interpretacją definicji/wskaźników; proszę wskazać co jest rozumiane przez kategorię "inne")</t>
    </r>
  </si>
  <si>
    <t>Liczba tematycznych inicjatyw wg rodzajów aktywności</t>
  </si>
  <si>
    <t>Liczba grup tematycznych według głównego obszaru tematycznego w tym</t>
  </si>
  <si>
    <t>liczba grup tematycznych</t>
  </si>
  <si>
    <t>liczba spotkań grup tematycznych</t>
  </si>
  <si>
    <t>Z naciskiem na żywotność gospodarstw rolnych i konkurencyjność, łańcuch żywnościowy, przetwórstwo i marketing, zarządzanie ryzykiem (P2 i P3)</t>
  </si>
  <si>
    <t>z których przeznaczone dla LGD włączając wsparcie współpracy</t>
  </si>
  <si>
    <r>
      <rPr>
        <b/>
        <sz val="10"/>
        <color indexed="28"/>
        <rFont val="Calibri"/>
        <family val="2"/>
        <charset val="238"/>
      </rPr>
      <t>WYTYCZNE:</t>
    </r>
    <r>
      <rPr>
        <sz val="10"/>
        <color indexed="8"/>
        <rFont val="Calibri"/>
        <family val="2"/>
      </rPr>
      <t xml:space="preserve">
</t>
    </r>
    <r>
      <rPr>
        <u/>
        <sz val="10"/>
        <color indexed="8"/>
        <rFont val="Calibri"/>
        <family val="2"/>
        <charset val="238"/>
      </rPr>
      <t>Rodzaj aktywności:</t>
    </r>
    <r>
      <rPr>
        <sz val="10"/>
        <color indexed="8"/>
        <rFont val="Calibri"/>
        <family val="2"/>
        <charset val="238"/>
      </rPr>
      <t xml:space="preserve"> Proszę policzyć ilość grup tematycznych i spotkań organizowanych w ramach tych grup.
</t>
    </r>
    <r>
      <rPr>
        <u/>
        <sz val="10"/>
        <color indexed="8"/>
        <rFont val="Calibri"/>
        <family val="2"/>
        <charset val="238"/>
      </rPr>
      <t>Zakres tematyczny:</t>
    </r>
    <r>
      <rPr>
        <sz val="10"/>
        <color indexed="8"/>
        <rFont val="Calibri"/>
        <family val="2"/>
        <charset val="238"/>
      </rPr>
      <t xml:space="preserve"> proszę patrz wyżej, te same definicje mają zastosowanie. Należy wskazać główny obszar tematyczny, w jakim została grupa powołana. Proszę nie liczyć tematyki pojedynczych spotkań grupy jako odrębnej inicjatywy tematycznej.                                                                                                                                                                                                                      </t>
    </r>
    <r>
      <rPr>
        <sz val="10"/>
        <rFont val="Calibri"/>
        <family val="2"/>
        <charset val="238"/>
      </rPr>
      <t xml:space="preserve">W przypadku spotkań grup roboczych należy liczyć wyłącznie spotkania grupy.  Decyzje podjęte przez grupę roboczą w trybie obiegowym nie są traktowane jak spotkanie i nie moga być jako takie liczone. </t>
    </r>
  </si>
  <si>
    <t xml:space="preserve">4.2 Liczba konsultacji tematycznych </t>
  </si>
  <si>
    <t>Konsultacje tematyczne z partnerami (włączając grupy koordynacyjne)</t>
  </si>
  <si>
    <t>Liczba inicjatyw tematycznych według głównego obszaru tematycznego w tym</t>
  </si>
  <si>
    <r>
      <rPr>
        <b/>
        <sz val="10"/>
        <color indexed="28"/>
        <rFont val="Calibri"/>
        <family val="2"/>
        <charset val="238"/>
      </rPr>
      <t>WYTYCZNE:</t>
    </r>
    <r>
      <rPr>
        <sz val="10"/>
        <color indexed="8"/>
        <rFont val="Calibri"/>
        <family val="2"/>
      </rPr>
      <t xml:space="preserve">
</t>
    </r>
    <r>
      <rPr>
        <u/>
        <sz val="10"/>
        <color indexed="8"/>
        <rFont val="Calibri"/>
        <family val="2"/>
        <charset val="238"/>
      </rPr>
      <t>Ogólnie:</t>
    </r>
    <r>
      <rPr>
        <sz val="10"/>
        <color indexed="8"/>
        <rFont val="Calibri"/>
        <family val="2"/>
      </rPr>
      <t xml:space="preserve"> Konsultacje tematyczne organizowane są pomiędzy różnymi organizacjami partnerów / ich przedstawicielami w celu ułatwiania wymiany poglądów, pomysłów i doświadczeń na konkretne tematy (np. grupa koodynacyjna LEADER), często w celu poprawy wdrażania PROW. Proszę policzyć konsultacje tematyczne zorganizowane / wspierane przez sieć  (lub gdzie sieć odgrywa główna rolę w zarządzaniu konsultacjami).
                                                                                                                                                                                                                                                                           </t>
    </r>
    <r>
      <rPr>
        <u/>
        <sz val="10"/>
        <color indexed="8"/>
        <rFont val="Calibri"/>
        <family val="2"/>
        <charset val="238"/>
      </rPr>
      <t>Zakres tematyczny:</t>
    </r>
    <r>
      <rPr>
        <sz val="10"/>
        <color indexed="8"/>
        <rFont val="Calibri"/>
        <family val="2"/>
      </rPr>
      <t xml:space="preserve"> proszę patrz wyżej, te same definicje mają zastosowanie. </t>
    </r>
    <r>
      <rPr>
        <u/>
        <sz val="10"/>
        <color indexed="8"/>
        <rFont val="Calibri"/>
        <family val="2"/>
      </rPr>
      <t xml:space="preserve">
</t>
    </r>
  </si>
  <si>
    <t>4.3 Liczba utworzonych innych inicjatyw tematycznych</t>
  </si>
  <si>
    <t>Inne (włączając inicjatywy badawcze dotyczące określonych tematów, fora internetowe, szkolenia tematyczne)</t>
  </si>
  <si>
    <r>
      <rPr>
        <b/>
        <sz val="10"/>
        <color indexed="28"/>
        <rFont val="Calibri"/>
        <family val="2"/>
        <charset val="238"/>
      </rPr>
      <t>WYTYCZNE:</t>
    </r>
    <r>
      <rPr>
        <sz val="10"/>
        <color indexed="8"/>
        <rFont val="Calibri"/>
        <family val="2"/>
      </rPr>
      <t xml:space="preserve">
Proszę policz inne rodzaje inicjatyw tematycznych. Fora internetowe i szkolenia mogą być policzone podwójnie, tzn.  mogą być podane tutaj oraz we wskażniku 2.1 (media społecznosciowe) oraz we wskażniku 6.1 (szkolenia). Proszę podaj w komentarzach jakie inne inicjatywy tematyczne są brane pod uwagę.
Zakres tematyczny: patrz wskaźnik 1.1 .</t>
    </r>
    <r>
      <rPr>
        <u/>
        <sz val="10"/>
        <color indexed="8"/>
        <rFont val="Calibri"/>
        <family val="2"/>
      </rPr>
      <t/>
    </r>
  </si>
  <si>
    <t>4.4 Liczba osób zaangażowanych w poszczególne inicjatywy</t>
  </si>
  <si>
    <t>Liczba osób według typu inicjatywy</t>
  </si>
  <si>
    <t>Grupy tematyczne</t>
  </si>
  <si>
    <t>tematyczne grupy konsultacyjne z partnerami (włączając grupy koordynacyjne)</t>
  </si>
  <si>
    <t>Inne (włączając inicjatywy badawcze dotyczące określonych tematów, fora internetowe)</t>
  </si>
  <si>
    <r>
      <rPr>
        <b/>
        <sz val="10"/>
        <color indexed="54"/>
        <rFont val="Calibri"/>
        <family val="2"/>
        <charset val="238"/>
      </rPr>
      <t>WYTYCZNE:</t>
    </r>
    <r>
      <rPr>
        <sz val="10"/>
        <color indexed="8"/>
        <rFont val="Calibri"/>
        <family val="2"/>
      </rPr>
      <t xml:space="preserve">
</t>
    </r>
    <r>
      <rPr>
        <u/>
        <sz val="10"/>
        <rFont val="Calibri"/>
        <family val="2"/>
        <charset val="238"/>
      </rPr>
      <t xml:space="preserve">Uczestnicy według typu inicjatywy: </t>
    </r>
    <r>
      <rPr>
        <sz val="10"/>
        <rFont val="Calibri"/>
        <family val="2"/>
        <charset val="238"/>
      </rPr>
      <t xml:space="preserve">Proszę policzyć członków inicjatyw tematycznych (wymienionych w tabeli wyżej w punkcie 4.1.) Członkiem incjatywy jest każdy kto conajmniej raz wziął udział w aktywności inicjatywy tematycznej (np. uczestniczył w spotkaniu grupy tematycznej, miał wkład w przygotowanie raportu z prac grupy tematycznej). Jeżeli osoba uczestniczyła w więcej niż jednej aktywności tej samej inicjatywy tematycznej należy ją liczyć tylko raz. Jeżeli ta sama osoba brała udział w dwóch róznych inicjatywach tematycznych proszę liczyć podwójnie (jak dwie osoby).  Proszę oddzielnie policzyć liczbę osób uczestniczących w spotkaniach grup tematycznych. Jeżeli ten sam członek inicjatywy tematycznej brał udział w dwóch spotkaniach powinien być liczony podwójnie (osobno dla każdego spotkania). 
</t>
    </r>
  </si>
  <si>
    <t>5. Współpraca i wkład do działań ENRD i EIP</t>
  </si>
  <si>
    <t>5.1 Liczba działań ENRD i EIP-AGRI, w których podmioty brały udział</t>
  </si>
  <si>
    <t>Rodzaj inicjatywy</t>
  </si>
  <si>
    <t>Całkowita liczba wydarzeń/inicjatyw według głównego organizatora</t>
  </si>
  <si>
    <t>Liczba inicjatyw tematycznych</t>
  </si>
  <si>
    <t>Liczba spotkań w ramach inicjatyw tematycznych (np. spotkania grup tematycznych)</t>
  </si>
  <si>
    <t>Liczba spotkań sieci Państw Członkowskich UE</t>
  </si>
  <si>
    <t>Liczba seminariów/ konferencji</t>
  </si>
  <si>
    <t>Inne wydarzenia (włączając Komitet Sterujący, Zgromadzenie ogólne, itp. Proszę określ inne wydarzenia w Komentarzach)</t>
  </si>
  <si>
    <t>Całkowita liczba inicjatyw, w których uczestniczyli przedstawiciele podmiotu lub partnerzy sieci</t>
  </si>
  <si>
    <t xml:space="preserve"> ...ENRD CP</t>
  </si>
  <si>
    <t>z których przedstawiciele podmiotu lub partnerzy sieci mieli aktywny wkład</t>
  </si>
  <si>
    <t>… Evaluation HD</t>
  </si>
  <si>
    <t>…EIP SP</t>
  </si>
  <si>
    <r>
      <rPr>
        <b/>
        <sz val="10"/>
        <color indexed="17"/>
        <rFont val="Calibri"/>
        <family val="2"/>
        <charset val="238"/>
      </rPr>
      <t>WYTYCZNE:</t>
    </r>
    <r>
      <rPr>
        <sz val="10"/>
        <color indexed="28"/>
        <rFont val="Calibri"/>
        <family val="2"/>
        <charset val="238"/>
      </rPr>
      <t xml:space="preserve">
Ten wskaźnik dotyczy wsparcia działań trzech jednostek organizacyjnych europejskiej sieci, tj. Punktu Kontaktowego ENRD (ENRD CP), Helpdesk ds. Ewaluacji (Evaluation HD) oraz EIP AGRI Service Point (EIP-SP) przez sieci Państw Członkowskich UE. Należy brać pod uwagę udział przedstawicieli podmiotów zaangażowanych  w realizację zadań KSOW i innych reprezentantów sieci (w tym partnerów) podczas różnych wydarzeń. Jeśli przedstawiciel sieci uczestniczy we wspólnym wydarzeniu zorganizowanym przez więcej niż jedną jednostkę , to można policzyć to dla obu jednostek  tzn., całkowita liczba inicjatyw jednostek europejskiej sieci nie dodaje sie to całkowitej liczby inicjatyw w których sieci uczestniczyły.
</t>
    </r>
    <r>
      <rPr>
        <u/>
        <sz val="10"/>
        <color indexed="28"/>
        <rFont val="Calibri"/>
        <family val="2"/>
        <charset val="238"/>
      </rPr>
      <t>Liczba inicjatyw:</t>
    </r>
    <r>
      <rPr>
        <sz val="10"/>
        <color indexed="28"/>
        <rFont val="Calibri"/>
        <family val="2"/>
        <charset val="238"/>
      </rPr>
      <t xml:space="preserve">  Policz liczbę inicjatyw, w których uczestniczyli przedstawiciele sieci, a nie liczbę osób biorących udział w danej inicjatywie. Jeżeli jeden uczestnik brał udział w dwóch spotkaniach tej samej grupy tematycznej to powinien być liczony pojedynczo w kolumnie "Liczba inicjatyw tematycznych" i podwójnie w kolumnie "Liczba spotkań w ramach inicjatywy tematycznej".                                                                                                                                                                     
</t>
    </r>
    <r>
      <rPr>
        <u/>
        <sz val="10"/>
        <color indexed="28"/>
        <rFont val="Calibri"/>
        <family val="2"/>
        <charset val="238"/>
      </rPr>
      <t>Liczba spotkań:</t>
    </r>
    <r>
      <rPr>
        <sz val="10"/>
        <color indexed="28"/>
        <rFont val="Calibri"/>
        <family val="2"/>
        <charset val="238"/>
      </rPr>
      <t xml:space="preserve"> Policz liczbę spotkań, w której brał udział przedstawiciel sieci np. jeżeli 3 uczestników brało udzial w 2 spotkaniach w kolumnie "Liczba spotkań w ramach inicjatywy tematycznej" należy wpisać 2. Proszę nie liczyć pojedynczych spotkań grupy tematycznej jako odrębnej inicjatywy tematycznej.
</t>
    </r>
    <r>
      <rPr>
        <u/>
        <sz val="10"/>
        <color indexed="28"/>
        <rFont val="Calibri"/>
        <family val="2"/>
        <charset val="238"/>
      </rPr>
      <t>Aktywny wkład:</t>
    </r>
    <r>
      <rPr>
        <sz val="10"/>
        <color indexed="28"/>
        <rFont val="Calibri"/>
        <family val="2"/>
        <charset val="238"/>
      </rPr>
      <t xml:space="preserve"> Policz inicjatywy/wydarzenia, w których przedstawiciel sieci miał aktywny wkład , włączając: prezentacje, moderowanie sesji, udział w dyskusji panelowej lub inne. Nie licz podwójnie np. jesli przedstawiciel sieci miał 2 prezentacje w ramach tej samej inicjatywy policz tylko jeden raz.</t>
    </r>
  </si>
  <si>
    <t>5.2 Liczba materiałów informacyjnych przekazanych ENRD i EIP-AGRI</t>
  </si>
  <si>
    <t>Prezentacje, publikacje i analizy przypadku</t>
  </si>
  <si>
    <t>Całkowita liczba materiałów informacyjnych dostarczonych do różnych jednostek organizacyjnych europejskiej sieci</t>
  </si>
  <si>
    <t>Liczba artyułów /informacji do publikacji ENRD/ EIP</t>
  </si>
  <si>
    <t xml:space="preserve">Liczba przekazanych przykładów dobrych praktyk/ case study </t>
  </si>
  <si>
    <t>Inne (proszę wyszczególnić jakie  w rubryce "Komentarze"</t>
  </si>
  <si>
    <t>Całkowita liczba informacji</t>
  </si>
  <si>
    <t>…ENRD CP</t>
  </si>
  <si>
    <t>…Evaluation HD</t>
  </si>
  <si>
    <r>
      <rPr>
        <b/>
        <sz val="10"/>
        <color indexed="17"/>
        <rFont val="Calibri"/>
        <family val="2"/>
        <charset val="238"/>
      </rPr>
      <t>WYTYCZNE:</t>
    </r>
    <r>
      <rPr>
        <sz val="10"/>
        <color indexed="8"/>
        <rFont val="Calibri"/>
        <family val="2"/>
      </rPr>
      <t xml:space="preserve">
</t>
    </r>
    <r>
      <rPr>
        <u/>
        <sz val="10"/>
        <color indexed="8"/>
        <rFont val="Calibri"/>
        <family val="2"/>
        <charset val="238"/>
      </rPr>
      <t>Poszczególne informacje:</t>
    </r>
    <r>
      <rPr>
        <sz val="10"/>
        <color indexed="8"/>
        <rFont val="Calibri"/>
        <family val="2"/>
      </rPr>
      <t xml:space="preserve"> Liczba artykułów, studium przypadku oraz innych materiałów informacyjnych może być liczona wielokrotnie w szczególnych przypadkach: np. jeśli podmiot dostarczył przykład dobrej praktyki, a następnie wykorzystał ten sam przykład w publikacji lub przygotował prezentację dotyczącą tej samej dobrej praktyki - można w takim przypadku zaliczyć wykonaną pracę zarówno jako przykład dobrej praktyki/case study jak i jako artykuł lub prezentację.</t>
    </r>
  </si>
  <si>
    <t>5.3 Liczba materiałów informacyjnych przygotowanych przez ENRD CP, Evaluation HD lub EIP-AGRI SP, które zostały przetłumaczone i/lub rozpowszechnione na potrzeby szerszej publiczności w ramach sieci</t>
  </si>
  <si>
    <r>
      <rPr>
        <b/>
        <sz val="12"/>
        <color indexed="8"/>
        <rFont val="Calibri"/>
        <family val="2"/>
        <charset val="238"/>
      </rPr>
      <t>Komentarze</t>
    </r>
    <r>
      <rPr>
        <sz val="10"/>
        <color indexed="8"/>
        <rFont val="Calibri"/>
        <family val="2"/>
      </rPr>
      <t xml:space="preserve"> </t>
    </r>
    <r>
      <rPr>
        <sz val="10"/>
        <color indexed="8"/>
        <rFont val="Calibri"/>
        <family val="2"/>
        <charset val="238"/>
      </rPr>
      <t>(proszę wskazać ewentualne trudności związane z interpretacją definicji/wskaźników; proszę wskazać co jest rozumiane przez kategorię "inne")</t>
    </r>
  </si>
  <si>
    <t>Liczba  informacji ENRD CP przetłumaczonych na język polski</t>
  </si>
  <si>
    <t>Liczba informacji ENRD CP rozpowszechnionych w Polsce</t>
  </si>
  <si>
    <t>Liczba  informacji Evaluation HD przetłumaczonych na język polski</t>
  </si>
  <si>
    <t>Liczba informacji Evalution HD rozpowszechnionych w Polsce</t>
  </si>
  <si>
    <t>Liczba  informacji EIP-SP przetłumaczonych na język polski</t>
  </si>
  <si>
    <t>Liczba informacji EIP-SP rozpowszechnionych w Polsce</t>
  </si>
  <si>
    <t>Całkowita liczba informacji przetłumaczonych na język polski</t>
  </si>
  <si>
    <t>Całkowita liczba informacji rozpowszechnionych w Polsce</t>
  </si>
  <si>
    <t>WYTYCZNE:
Jeśli to możliwe, proszę wskazać w rubryce "Komentarze" które materiały zostały przetłumaczone lub upowszechnione.
Liczba przetłumaczonych materiałów: Liczba przetłumaczonych  na język polski informacji (włączając publikacje, raporty, analizy, studium przypadku, itp.) 
Liczba rozpowszechnionych materiałów:  Liczba informacji (publikacje, raporty, analizy, case study) rozpowszechnionych wśród szerszego grona odbiorców w ramach sieci, np. poprzez stronę internetową, newsletter, emailing, itp. Można tu zaliczyć odwołania do strony ENRD zamieszczone na stronie krajowej sieci.</t>
  </si>
  <si>
    <t>6.  Budowanie umiejętności i szkolenia</t>
  </si>
  <si>
    <t>6.1 Liczba działań o charakterze szkoleniowym</t>
  </si>
  <si>
    <t xml:space="preserve">Rodzaj działania szkoleniowego </t>
  </si>
  <si>
    <t>Zakres tematyczny</t>
  </si>
  <si>
    <t>liczba warsztatów/ szkoleń</t>
  </si>
  <si>
    <t>liczba wizyt/ wyjazdów studyjnych</t>
  </si>
  <si>
    <t>Inne (proszę podaj w komentarzach)</t>
  </si>
  <si>
    <t>całkowita liczba działań szkoleniowych</t>
  </si>
  <si>
    <t>liczba dni szkoleniowych</t>
  </si>
  <si>
    <r>
      <rPr>
        <b/>
        <sz val="10"/>
        <color indexed="49"/>
        <rFont val="Calibri"/>
        <family val="2"/>
      </rPr>
      <t>WYTYCZNE:</t>
    </r>
    <r>
      <rPr>
        <sz val="10"/>
        <color indexed="49"/>
        <rFont val="Calibri"/>
        <family val="2"/>
      </rPr>
      <t xml:space="preserve">
</t>
    </r>
    <r>
      <rPr>
        <u/>
        <sz val="10"/>
        <rFont val="Calibri"/>
        <family val="2"/>
        <charset val="238"/>
      </rPr>
      <t>Typ działania szkoleniowego:</t>
    </r>
    <r>
      <rPr>
        <sz val="10"/>
        <rFont val="Calibri"/>
        <family val="2"/>
        <charset val="238"/>
      </rPr>
      <t xml:space="preserve">  Proszę uwzględnić wszystkie działania szkoleniowe zorganizowane przez podmiot lub partnerów sieci (włączając wizyty/wyjazdy studyjne). Proszę podać osobno liczbę działań szkoleniowych oraz odpowiednio liczbę dni. Działanie szkoleniowe to takie które mają aspekt budowy umiejętności (rozwijania zdolności) na konkretny temat.
</t>
    </r>
    <r>
      <rPr>
        <u/>
        <sz val="10"/>
        <rFont val="Calibri"/>
        <family val="2"/>
        <charset val="238"/>
      </rPr>
      <t>Zakres tematyczny:</t>
    </r>
    <r>
      <rPr>
        <sz val="10"/>
        <rFont val="Calibri"/>
        <family val="2"/>
        <charset val="238"/>
      </rPr>
      <t xml:space="preserve"> Działanie szkoleniowe może być zakwalifikowane do konkretnego tematu jedynie w przypadku gdy bezpośrednio dotyczyło danych zagadnień  (np. cały warsztat na dany temat a nie tylko jeden wykład). Jedno działanie szkoleniowe może dotyczyć więcej niż jednego tematu tzn., że ilość wszystkich działań nie musi być sumą działań w poszczególnych tematach.</t>
    </r>
  </si>
  <si>
    <t>szkolenia dotyczyły możliwości ubiegania się o pomoc z poszczególnych działań PROW</t>
  </si>
  <si>
    <t>6.2 Liczba osób biorących udział w działaniach szkoleniowych</t>
  </si>
  <si>
    <t>Rodzaj działania szkoleniowego</t>
  </si>
  <si>
    <t>Grupy interesariuszy</t>
  </si>
  <si>
    <t>liczba uczestników szkoleń/ warsztatów</t>
  </si>
  <si>
    <t>liczba uczestników wizyt/ wyjazdów studyjnych</t>
  </si>
  <si>
    <t>liczba uczestników innych lub mieszanych działań szkoleniowych (proszę doprecyzuj w "Komentarzu")</t>
  </si>
  <si>
    <t>liczba przedstawicieli IZ/AP</t>
  </si>
  <si>
    <t>liczba przedstawicieli LGD</t>
  </si>
  <si>
    <t>liczba doradców rolnych i przedstawicieli SIR</t>
  </si>
  <si>
    <t xml:space="preserve">liczba przedstawicieli lokalnych partnerów i organizacji </t>
  </si>
  <si>
    <t>liczba przedstawicieli innych grup interesariuszy (proszę doprecyzuj w"Komentarzu")</t>
  </si>
  <si>
    <r>
      <t xml:space="preserve">WYTYCZNE:
</t>
    </r>
    <r>
      <rPr>
        <sz val="10"/>
        <color indexed="8"/>
        <rFont val="Calibri"/>
        <family val="2"/>
        <charset val="238"/>
      </rPr>
      <t xml:space="preserve">
Proszę uwzględnić liczbę osób, które brały udział w działaniach szkoleniowych wymienionych w pkt. 6.1. Jeśli to możliwe, proszę wskazać liczbę uczestników w podziale na główne grupy interesariuszy.</t>
    </r>
  </si>
  <si>
    <t xml:space="preserve">7. Wsparcie transnarodowej i międzyterytorialnej współpracy w ramach LEADER/RLKS i wspólnych inicjatyw  </t>
  </si>
  <si>
    <t xml:space="preserve">7.1 Liczba inicjatyw współpracy, ofert poszukiwania partnerów do współpracy, badań/analiz, wizyt studyjnych i innych działań na rzecz współpracy </t>
  </si>
  <si>
    <t>Liczba wydarzeń poświęconych współpracy</t>
  </si>
  <si>
    <t>Liczba osób zaangażowanych w te inicjatywy</t>
  </si>
  <si>
    <t>… w tym liczba osób z innych Państw Członkowskich UE</t>
  </si>
  <si>
    <t>… w tym liczba osób z innych regionów (do wypełnienia tylko przez JR)</t>
  </si>
  <si>
    <t>Liczba zebranych i przekazanych ofert poszukiwania partnerów do współpracy</t>
  </si>
  <si>
    <t>Liczba badań/analiz na temat współpracy</t>
  </si>
  <si>
    <t>Liczba wizyt studyjnych z naciskiem na współpracę</t>
  </si>
  <si>
    <t>Liczba osób uczestniczących w wyjazdach studyjnych</t>
  </si>
  <si>
    <t>…w tym osób z innych Państw Członkowskich UE</t>
  </si>
  <si>
    <r>
      <rPr>
        <b/>
        <sz val="10"/>
        <color indexed="53"/>
        <rFont val="Calibri"/>
        <family val="2"/>
      </rPr>
      <t>WYTYCZNE:</t>
    </r>
    <r>
      <rPr>
        <sz val="10"/>
        <color indexed="53"/>
        <rFont val="Calibri"/>
        <family val="2"/>
      </rPr>
      <t xml:space="preserve"> </t>
    </r>
    <r>
      <rPr>
        <sz val="10"/>
        <color indexed="8"/>
        <rFont val="Calibri"/>
        <family val="2"/>
      </rPr>
      <t xml:space="preserve">
</t>
    </r>
    <r>
      <rPr>
        <u/>
        <sz val="10"/>
        <color indexed="8"/>
        <rFont val="Calibri"/>
        <family val="2"/>
        <charset val="238"/>
      </rPr>
      <t>Ogólne</t>
    </r>
    <r>
      <rPr>
        <sz val="10"/>
        <color indexed="8"/>
        <rFont val="Calibri"/>
        <family val="2"/>
      </rPr>
      <t xml:space="preserve">: Podwójne uwzględnianie z innymi wskaźnikami jest możliwe np. jeżeli w wydarzeniu dotyczącym LEADER/RLKS pokazanym we wskaźniku 1.1. znaczny nacisk położono na współpracę. 
</t>
    </r>
    <r>
      <rPr>
        <u/>
        <sz val="10"/>
        <color indexed="8"/>
        <rFont val="Calibri"/>
        <family val="2"/>
        <charset val="238"/>
      </rPr>
      <t>Wydarzenia poświęcone współpracy:</t>
    </r>
    <r>
      <rPr>
        <sz val="10"/>
        <color indexed="8"/>
        <rFont val="Calibri"/>
        <family val="2"/>
      </rPr>
      <t xml:space="preserve"> Proszę uwzględnić wydarzenia, w ramach których znaczny nacisk został położony na współpracę np. zorganizowano specjalne sesje lub wydarzenia towarzyszące poświęcone współpracy lub wspierające wspólpracę różnych interesariuszy (szczegónie LGD) w celu przygotowania i realizacji projektów współpracy. Proszę nie uwzględniać tu wizyt studyjnych, które należy wpisać  w kolumnie "</t>
    </r>
    <r>
      <rPr>
        <i/>
        <sz val="10"/>
        <color indexed="8"/>
        <rFont val="Calibri"/>
        <family val="2"/>
        <charset val="238"/>
      </rPr>
      <t>liczba wizyt studyjnych</t>
    </r>
    <r>
      <rPr>
        <sz val="10"/>
        <color indexed="8"/>
        <rFont val="Calibri"/>
        <family val="2"/>
      </rPr>
      <t xml:space="preserve">".
</t>
    </r>
    <r>
      <rPr>
        <u/>
        <sz val="10"/>
        <color indexed="8"/>
        <rFont val="Calibri"/>
        <family val="2"/>
      </rPr>
      <t>Oferty współpracy/ poszukiwania partnerów:</t>
    </r>
    <r>
      <rPr>
        <sz val="10"/>
        <color indexed="8"/>
        <rFont val="Calibri"/>
        <family val="2"/>
      </rPr>
      <t xml:space="preserve"> Proszę uwzględnić liczbę ofert współpracy zebranych i rozpowszechnionych z wykorzystaniem określonych narzędzi (np. baza danych partnerów do współpracy, emailing do LGD). Proszę nie uwzględniać zapytań, które były rozpowszechniane z pominięciem sieci poprzez inne kanały. Proszę unikać podwójnego liczenia - jeśli oferta była udostępniona w bazie danych i przez e-mailing, policz ją jeden raz.
</t>
    </r>
    <r>
      <rPr>
        <u/>
        <sz val="10"/>
        <color indexed="8"/>
        <rFont val="Calibri"/>
        <family val="2"/>
      </rPr>
      <t>Wizyty studyjne:</t>
    </r>
    <r>
      <rPr>
        <sz val="10"/>
        <color indexed="8"/>
        <rFont val="Calibri"/>
        <family val="2"/>
      </rPr>
      <t xml:space="preserve"> Proszę uwzględnić liczbę wizyt studyjnych, których jednym z głównych celów było wsparcie współpracy pomiędzy LGD (włączając także wizyty studyjne zorganizowane w Polsce dla LGD z innych Państw Członkowskich UE. 
</t>
    </r>
    <r>
      <rPr>
        <u/>
        <sz val="10"/>
        <color indexed="8"/>
        <rFont val="Calibri"/>
        <family val="2"/>
      </rPr>
      <t>Inne inicjatywy współpracy podejmowane przez NSU</t>
    </r>
    <r>
      <rPr>
        <sz val="10"/>
        <color indexed="8"/>
        <rFont val="Calibri"/>
        <family val="2"/>
      </rPr>
      <t>: Jeżeli podejmowane są inne rodzaje inicjatyw, które nie zostały uwzględnione w tym zestawieniu, prosimy o podanie informacji na ich temat w rubryce "</t>
    </r>
    <r>
      <rPr>
        <i/>
        <sz val="10"/>
        <color indexed="8"/>
        <rFont val="Calibri"/>
        <family val="2"/>
        <charset val="238"/>
      </rPr>
      <t>Komentarze</t>
    </r>
    <r>
      <rPr>
        <sz val="10"/>
        <color indexed="8"/>
        <rFont val="Calibri"/>
        <family val="2"/>
      </rPr>
      <t>".</t>
    </r>
  </si>
  <si>
    <t xml:space="preserve">8. Budżet sieci w EUR - Proszę nie licz podwójnie </t>
  </si>
  <si>
    <r>
      <rPr>
        <b/>
        <sz val="12"/>
        <color indexed="8"/>
        <rFont val="Calibri"/>
        <family val="2"/>
        <charset val="238"/>
      </rPr>
      <t xml:space="preserve">Komentarze </t>
    </r>
    <r>
      <rPr>
        <sz val="10"/>
        <color indexed="8"/>
        <rFont val="Calibri"/>
        <family val="2"/>
        <charset val="238"/>
      </rPr>
      <t>(proszę wskazać także inne kategorie)</t>
    </r>
  </si>
  <si>
    <t>Koszty związane z działalnością/planem działania</t>
  </si>
  <si>
    <t>w tym wydarzenia (tab. 1)</t>
  </si>
  <si>
    <t>w tym strona internetowa (tab. 2.1, 2.2)</t>
  </si>
  <si>
    <t>w tym związane z innymi działaniami komunikacji (tab. 2.3, 2.4)</t>
  </si>
  <si>
    <t>w tym związane z innymi działaniami (tab. 3, 4, 5, 6, 7)</t>
  </si>
  <si>
    <t>Koszty funkcjonowania (wszystkie koszty administracyjne, materiały, koordynacja, itp.) Proszę określ je w komentarzach.</t>
  </si>
  <si>
    <t>SR KSOW Województwa Dolnośląskiego</t>
  </si>
  <si>
    <r>
      <rPr>
        <b/>
        <u/>
        <sz val="12"/>
        <color indexed="8"/>
        <rFont val="Calibri"/>
        <family val="2"/>
        <charset val="238"/>
      </rPr>
      <t>Cel i kontekst Wspólnej Statystyki Sieci</t>
    </r>
    <r>
      <rPr>
        <sz val="12"/>
        <color indexed="8"/>
        <rFont val="Calibri"/>
        <family val="2"/>
      </rPr>
      <t xml:space="preserve">
Wspólna Statystyka Sieci została opracowana przez Punkt Kontaktowy ENRD we współpracy z jednostkami wspierającymi sieci w Państwach Członkowskich UE w celu uzyskania całościowego obrazu dokonań KSOW. Informacja ta zostanie wykorzystana do podsumowania i oceny działań sieci, a także umożliwi porównywanie sieci w różnych krajach UE.
</t>
    </r>
    <r>
      <rPr>
        <b/>
        <u/>
        <sz val="12"/>
        <color indexed="8"/>
        <rFont val="Calibri"/>
        <family val="2"/>
        <charset val="238"/>
      </rPr>
      <t>Powiązania między Wspólną Statystyką Sieci i obligatoryjnymi wskaźnikami monitorowania określonymi w rozporządzeniu wykonawczym KE (UE) nr 808/2014</t>
    </r>
    <r>
      <rPr>
        <sz val="12"/>
        <color indexed="8"/>
        <rFont val="Calibri"/>
        <family val="2"/>
      </rPr>
      <t xml:space="preserve">
Celem Wspólnej Statystyki Sieci jest ułatwienie zbierania danych do obligatoryjnych wskaźników. Wszystkie podmioty zaangażowane w realizację zadań sieci wypełniają tylko arkusz </t>
    </r>
    <r>
      <rPr>
        <i/>
        <sz val="12"/>
        <color indexed="8"/>
        <rFont val="Calibri"/>
        <family val="2"/>
        <charset val="238"/>
      </rPr>
      <t xml:space="preserve">"Wspólna Statystyka Sieci". </t>
    </r>
    <r>
      <rPr>
        <sz val="12"/>
        <color indexed="8"/>
        <rFont val="Calibri"/>
        <family val="2"/>
      </rPr>
      <t xml:space="preserve">
</t>
    </r>
    <r>
      <rPr>
        <b/>
        <u/>
        <sz val="12"/>
        <color indexed="8"/>
        <rFont val="Calibri"/>
        <family val="2"/>
        <charset val="238"/>
      </rPr>
      <t>Definicje i wytyczne do poszczególnych wskaźników</t>
    </r>
    <r>
      <rPr>
        <sz val="12"/>
        <color indexed="8"/>
        <rFont val="Calibri"/>
        <family val="2"/>
      </rPr>
      <t xml:space="preserve">
W opisie poszczególnych wskaźników/mierników znajdują się wytyczne dla każdego wskaźnika. W sytuacji, kiedy wytyczne nie są jasne albo mierniki/wskaźniki nie są możliwe do uzupełnienia - prosimy wypełnić rubrykę "K</t>
    </r>
    <r>
      <rPr>
        <i/>
        <sz val="12"/>
        <color indexed="8"/>
        <rFont val="Calibri"/>
        <family val="2"/>
        <charset val="238"/>
      </rPr>
      <t>omentarze"</t>
    </r>
    <r>
      <rPr>
        <sz val="12"/>
        <color indexed="8"/>
        <rFont val="Calibri"/>
        <family val="2"/>
      </rPr>
      <t xml:space="preserve">. 
 Zakres tematyczny został powiązany z priorytetami PROW 2014-2020.
</t>
    </r>
    <r>
      <rPr>
        <b/>
        <u/>
        <sz val="12"/>
        <color indexed="8"/>
        <rFont val="Calibri"/>
        <family val="2"/>
        <charset val="238"/>
      </rPr>
      <t>Udział w budżecie</t>
    </r>
    <r>
      <rPr>
        <b/>
        <sz val="12"/>
        <color indexed="8"/>
        <rFont val="Calibri"/>
        <family val="2"/>
      </rPr>
      <t xml:space="preserve">
</t>
    </r>
    <r>
      <rPr>
        <sz val="12"/>
        <color indexed="8"/>
        <rFont val="Calibri"/>
        <family val="2"/>
        <charset val="238"/>
      </rPr>
      <t>Szacowany podział budżetu (Tabela 8) ma na celu dostarczenie informacji jak proporcjonalnie środki</t>
    </r>
    <r>
      <rPr>
        <b/>
        <sz val="12"/>
        <color indexed="8"/>
        <rFont val="Calibri"/>
        <family val="2"/>
      </rPr>
      <t xml:space="preserve"> </t>
    </r>
    <r>
      <rPr>
        <sz val="12"/>
        <color indexed="8"/>
        <rFont val="Calibri"/>
        <family val="2"/>
        <charset val="238"/>
      </rPr>
      <t>rocznego budżetu sieci zostały przeznaczone na odpowiednie działania objęte wskaźnikami. Proszę podaj budzet dla poszczególnych kategorii i wskaż trudności w komentarzu.</t>
    </r>
    <r>
      <rPr>
        <sz val="12"/>
        <color indexed="8"/>
        <rFont val="Calibri"/>
        <family val="2"/>
      </rPr>
      <t xml:space="preserve">
</t>
    </r>
    <r>
      <rPr>
        <b/>
        <u/>
        <sz val="12"/>
        <color indexed="8"/>
        <rFont val="Calibri"/>
        <family val="2"/>
        <charset val="238"/>
      </rPr>
      <t/>
    </r>
  </si>
  <si>
    <r>
      <t>Komentarze</t>
    </r>
    <r>
      <rPr>
        <sz val="10"/>
        <color indexed="8"/>
        <rFont val="Calibri"/>
        <family val="2"/>
      </rPr>
      <t xml:space="preserve"> 
(proszę wskazać co jest rozumiane przez kategorię "inne")</t>
    </r>
  </si>
  <si>
    <r>
      <rPr>
        <b/>
        <sz val="10"/>
        <color theme="1"/>
        <rFont val="Calibri"/>
        <family val="2"/>
        <charset val="238"/>
      </rPr>
      <t>Zasięg krajowy:</t>
    </r>
    <r>
      <rPr>
        <sz val="10"/>
        <color theme="1"/>
        <rFont val="Calibri"/>
        <family val="2"/>
        <charset val="238"/>
      </rPr>
      <t xml:space="preserve"> </t>
    </r>
    <r>
      <rPr>
        <b/>
        <sz val="10"/>
        <color theme="1"/>
        <rFont val="Calibri"/>
        <family val="2"/>
        <charset val="238"/>
      </rPr>
      <t>2015 rok</t>
    </r>
    <r>
      <rPr>
        <sz val="10"/>
        <color theme="1"/>
        <rFont val="Calibri"/>
        <family val="2"/>
        <charset val="238"/>
      </rPr>
      <t xml:space="preserve">: Dożynki Prezydenckie w Spale, targi Natura Food, targi Smaki Regionów, Święto Wina i Sera, prezentacje tradycyjnych stołów wigilijnych; </t>
    </r>
    <r>
      <rPr>
        <b/>
        <sz val="10"/>
        <color theme="1"/>
        <rFont val="Calibri"/>
        <family val="2"/>
        <charset val="238"/>
      </rPr>
      <t xml:space="preserve"> Zasięg krajowy: 2016 rok</t>
    </r>
    <r>
      <rPr>
        <sz val="10"/>
        <color theme="1"/>
        <rFont val="Calibri"/>
        <family val="2"/>
        <charset val="238"/>
      </rPr>
      <t>:  P1 - Olimpiada Wiedzy i Umiejętności Rolniczych; P3 - Święto Mleka w Kamiennej Górze; Dolnośląski Dzień Pszczelarza; Dary Jesieni - Dolnośląskie Święto Owoców i Warzyw; P6-  obchody 150-lecia Kół Gospodyń Wiejskich;  Prezentacja Tradycyjnych Stołów Wigilijnych; INNE lub MIESZANE , wpisujące się w więcej niż jeden priorytet: prezentacje wojewódzkie Tradycyjnych Stołów Wielkanocnych, Palm i Pisanek; Wystawa Zwierząt Hodowlanych w Piotrowicach; prezentacja Dolnośląska Wieś Zaprasza; Święto wina i sera; Targi Naturalnej Żywności Natura Food; Targi Smaki Regionów; Forum muzeów domowych; konferencja "Agrotechniczne aspekty uprawy winorośli i jakości wina w Polsce" Winnica-Technologia-Enologia-Zdrowie; Konferencja naukowa pt. "Procesy koncentracji ziemi i kapitału a zrównoważony rozwój obszarów wiejskich na Dolnym Śląsku";</t>
    </r>
    <r>
      <rPr>
        <b/>
        <sz val="10"/>
        <color theme="1"/>
        <rFont val="Calibri"/>
        <family val="2"/>
        <charset val="238"/>
      </rPr>
      <t xml:space="preserve"> Zasięg międzynarodowy:</t>
    </r>
    <r>
      <rPr>
        <sz val="10"/>
        <color theme="1"/>
        <rFont val="Calibri"/>
        <family val="2"/>
        <charset val="238"/>
      </rPr>
      <t xml:space="preserve">  2016 rok: targi Agrotravel w Kielcach, targi Grune Woche w Berlinie (wydarzenia inne lub mieszane, wpisujące się w więcej niz jeden priorytet).  Zasięg międzynarodowy 2017: 1. Targi Grüne Woche w Berlinie; 2. Międzynarodowe Targi Turystyki Wiejskiej i Agroturystyki Agrotravel w Kielcach, Zasięg regionalny: 2017 -1. konferencja podsumowująca wdrażanie PROW 2014-2020 w latach 2014-2017 w ramach działań delegowanych; 2. Prezentacje Tradycyjnych Stołów Wielkanocnych, Palm i Pisanek we Wrocławiu; 3. Targi Naturalnej Żywności Natura Food w Łodzi; 4. Targi Smaki Regionw w Poznaniu; 5. Prezentacje Tradycyjnych Stołów Wigilijnych we Wrocławiu; 6. Konkurs "Piękna wieś dolnośląska";  7. Konferencja "Agrotechniczne aspekty uprawy winorośli i jakości wina w Polsce"; operacje realizowane przez partnerów KSOW - 16, w tym: 1. Tworzenie sieci współpracy pomiędzy Lokalnymi Grupami Działania oraz podniesienie wiedzy Lokalnych Grup Działania w zakresie PROW 2014-2020 na obszarze Dolnego Śląska; 2. Święto Sera i Wina Spotkanie Regionów; 3. Realizacja audycji telewizyjnej pt. "Zrób to ze smakiem"; 4. Doświadczenia, które łaczą - wymiana wiedzy pomiędzy partnerami KSOW; 5. Działalność międzynarodowej sieci "muzeów domowych" (ze szczególnym uwzględnieniem segmentu dolnoślaskiego) w 2017 r. jako czynnika kulturalnego i społeczno-gospodarczego rozwoju obszarów wiejskich; 6. Rolnictwo wspierane społecznie - zmiejszenie barier wejścia na rynek dla dolnośląskich produktów żywności wysokiej jakości;  7. Edukacja przyrodniczo-leśna jako narzędzie działań na rzecz odtwarzania, ochrony i wzmacniania ekosystemów związanych z leśnictwem na obszarze Doliny Baryczy; 8. XXII Regionalna Wystawa Zwierząt Hodowlanych w Piotrowicach; 9.Dolnośląski Dzień Pszczelarza;  10. Udział SM KaMos w Targach Pyszna Polska; 11. Festyn Dolnośląska Wieś Zaprasza 2017; 12. Organizacja 41 edycji Olimpiady Wiedzy i Umiejętności Rolniczych na Uniwersytecie Przyrodniczym we Wrocławiu; 13. Wsie tematyczne jako idea aktywizacji społecznej i ekonomicznej oraz zachowania dziedzictwa dolnośląskich wsi; 14.  Rozwój obszarów wiejskich i aktywizacja środowiska wiejskiego w Gminie Radków poprzez organizację szkoleń i warsztatu dla mieszkańców; 15. Święto Mleka; 16. XI Kaczawskie Warsztaty Artystyczne w Dobkowie - promocja sieci współpracy w Krainie Wygasłych Wulkanów/////UWAGA DOT. CZĘŚCI KSOW: w wydarzeniach z 2017 roku uwzględniono liczbę odwiedzających, uczestników konferencji. Ilość sztuk publikacji, liczbę uczestników szkoleń, ilośc odcinków audycji tv podano w odpowiadających im tabelach poniżej. Koszty wydarzeń z 2017 r. oprócz konferencji w ramach Planu komunikacyjnego  zostały zaliczone w tab. 8 jako koszty z tab. 1 (wynika to z faktu, że partnerzy KSOW realizowali w kilku przypadkach więcej niż jedną formę operacji).</t>
    </r>
  </si>
  <si>
    <r>
      <rPr>
        <b/>
        <sz val="10"/>
        <color theme="1"/>
        <rFont val="Calibri"/>
        <family val="2"/>
        <charset val="238"/>
      </rPr>
      <t xml:space="preserve"> Zasięg krajowy: 2015 rok</t>
    </r>
    <r>
      <rPr>
        <sz val="10"/>
        <color theme="1"/>
        <rFont val="Calibri"/>
        <family val="2"/>
        <charset val="238"/>
      </rPr>
      <t xml:space="preserve">: konferencja inaugurująca rozpoczęcie wdrażanie PROW 2014-2020 na Dolnym Śląsk- 184 osoby, Prezentacja Tradycyjnych Stołów Wigilijnych - około 2 000 odwiedzających; spotkania dotyczące funkcjonowania LGD, działania 19.2 itp. - około 210 osób;  Dożynki Prezydenckie w Spale: 7 wystawców, ok. 10 000 odwiedzających;  targi Natura Food: 8 wystawców, ok. 11 000 odwiedzających;  targi Smaki Regionów: 7 wystawców, ok. 60 000 odwiedzających, Święto Wina i Sera 25 wystawców, ok. 2 000 odwiedzających, prezentacje tradycyjnych stołów wigilijnych: 26 wystawców.
</t>
    </r>
    <r>
      <rPr>
        <b/>
        <sz val="10"/>
        <color theme="1"/>
        <rFont val="Calibri"/>
        <family val="2"/>
        <charset val="238"/>
      </rPr>
      <t>Zasięg krajowy: 2016 rok:</t>
    </r>
    <r>
      <rPr>
        <sz val="10"/>
        <color theme="1"/>
        <rFont val="Calibri"/>
        <family val="2"/>
        <charset val="238"/>
      </rPr>
      <t xml:space="preserve"> prezentacje wojewódzkie Tradycyjnych Stołów Wielkanocnych, Palm i Panek - 26 wystawców, ok. 2 000 zwiedzających;; obchody 150-lecia Kół Gospodyń Wiejskich - 98 wystawców, ok. 3 000 zwiedzających; Wystawa Zwierząt Hodowlanych w Piotrowicach - 80 wystawców, ok. 6 000 zwiedzających; prezentacja Dolnośląska Wieś Zaprasza - 62 wystawców, ok. 600 odwiedzających; Olimpiada Wiedzy i Umiejętności Rolniczych - 210 uczestników;  - Święto Mleka w Kamiennej Górze: 30 wystawców, ok. 5000 odwiedzających; Dolnośląski Dzień Pszczelarza: ok. 50 wystawców, ok. 2500 odwiedzających; Dary Jesieni - Dolnośląskie Święto Owoców i Warzyw: ok. 30 wystawców, ok. 1000 odwiedzających;  Prezentacja Tradycyjnych Stołów Wigilijnych - 26 wystawców, ok. 2000 odwiedzających; Święto wina i sera ok. 25 wystawców, ok. 2000 odwiedzających; Targi Naturalnej Żywności Natura Food: 7 wystawców, ok. 12000 odwiedzających; Targi Smaki Regionów: 6 wystawców, ok. 60000 odwiedzających; Forum muzeów domowych - ok. 40 uczestników; konferencja "Agrotechniczne aspekty uprawy winorośli i jakości wina w Polsce" Winnica-Technologia-Enologia-Zdrowie - ok. 80 uczestników; Konferencja naukowa pt. "Procesy koncentracji ziemi i kapitału a zrównoważony rozwój obszarów wiejskich na Dolnym Śląsku" ok. 45 uczestników; w kol. G podano zsumowaną ilość odwiedzających na wydarzeniach targowych oraz ilość uczestników pozostałych wydarzeń.</t>
    </r>
    <r>
      <rPr>
        <b/>
        <sz val="10"/>
        <color theme="1"/>
        <rFont val="Calibri"/>
        <family val="2"/>
        <charset val="238"/>
      </rPr>
      <t xml:space="preserve"> Zasięg międzynarodowy: 2016 rok:</t>
    </r>
    <r>
      <rPr>
        <sz val="10"/>
        <color theme="1"/>
        <rFont val="Calibri"/>
        <family val="2"/>
        <charset val="238"/>
      </rPr>
      <t xml:space="preserve">  targi Agrotravel w Kielcach - 10 wystawców, ok. 20 000 zwiedzających; targi Grune Woche w Berlinie - 6 wystawców, ok. 400 tys. zwiedzających;</t>
    </r>
    <r>
      <rPr>
        <b/>
        <sz val="10"/>
        <color theme="1"/>
        <rFont val="Calibri"/>
        <family val="2"/>
        <charset val="238"/>
      </rPr>
      <t xml:space="preserve">  Zasięg regionalny 2017 rok</t>
    </r>
    <r>
      <rPr>
        <sz val="10"/>
        <color theme="1"/>
        <rFont val="Calibri"/>
        <family val="2"/>
        <charset val="238"/>
      </rPr>
      <t>: 1. Konferencja podsumowującą wdrażanie PROW 2014-2020 - 98 osób podpisanych na liście obecności; 2. Prezentacje Tradycyjnych Stołów Wielkanocnych, Palm i Pisanek we Wrocławiu - 26 wystawców, ok. 2 000 odwiedzających; 3. Targi Naturalnej Żywności Natura Food w Łodzi - 7 wystawców ok. 12 000 odwiedzających; 4. Targi Smaki Regionw w Poznaniu - 6 wystawców, ok. 60000 odwiedzających; 5. Prezentacje Tradycyjnych Stołów Wigilijnych we Wrocławiu - 26 wystawców, ok. 2000 odwiedzających; 6. Konkurs "Piękna wieś dolnośląska" - ok. 600 uczestników podsumowania konkursu, 18 laureatów;  7. Konferencja "Agrotechniczne aspekty uprawy winorośli i jakości wina w Polsce" - ok. 80 uczestników, ilość sztuk publikacji wpisana w tab. 2.3;OPERACJE REALIZOWANE PRZEZ PARTNERÓW KSOW - 16, w tym: 1. Tworzenie sieci współpracy pomiędzy Lokalnymi Grupami Działania oraz podniesienie wiedzy Lokalnych Grup Działania w zakresie PROW 2014-2020 na obszarze Dolnego Śląska - uczestnicy szkoleń wpisani w tab. 6.2; 2. Święto Sera i Wina Spotkanie Regionów - 2000 odwiedzających, 30 wystawców, uczestnicy szkoleń wpisani w tab. 6.2 ; 3. Realizacja audycji telewizyjnej pt. "Zrób to ze smakiem", ilość audycji telewizyjnych wpisana w tab. 2.4; 4. Doświadczenia, które łaczą - wymiana wiedzy pomiędzy partnerami KSOW -  uczestnicy szkoleń wpisani w tab. 6.2, ilość sztuk publikacji wpisana w tab. 2.3; 5. Działalność międzynarodowej sieci "muzeów domowych" (ze szczególnym uwzględnieniem segmentu dolnoślaskiego) w 2017 r. jako czynnika kulturalnego i społeczno-gospodarczego rozwoju obszarów wiejskich -  46 uczestników konferencji, ilość sztuk publikacji wpisana w tab. 2.3; 6. Rolnictwo wspierane społecznie - zmiejszenie barier wejścia na rynek dla dolnośląskich produktów żywności wysokiej jakości -  75 uczestników konferencji, ilość sztuk publikacji wpisana w tab. 2 .3;  7. Edukacja przyrodniczo-leśna jako narzędzie działań na rzecz odtwarzania, ochrony i wzmacniania ekosystemów związanych z leśnictwem na obszarze Doliny Baryczy - ilość odcinków audycji telewizyjnych wpisana w tab. 2.4, ilość sztuk publikacji wpisana w tab. 2.3; 8. XXII Regionalna Wystawa Zwierząt Hodowlanych w Piotrowicach - 6000 odwiedzających, 55 wystawców; 9.Dolnośląski Dzień Pszczelarza -  1500 odwiedzających, 47 wystawców;  10. Udział SM KaMos w Targach Pyszna Polska - 2000 odwiedzających, 1 wystawca; 11. Festyn Dolnośląska Wieś Zaprasza 2017 - 800 odwiedzających, 59 wystawców; 12. Organizacja 41 edycji Olimpiady Wiedzy i Umiejętności Rolniczych na Uniwersytecie Przyrodniczym we Wrocławiu - 150 uczestników; 13. Wsie tematyczne jako idea aktywizacji społecznej i ekonomicznej oraz zachowania dziedzictwa dolnośląskich wsi -  61 uczestników konferencji, liczba sztuk publikacji wpisana w tab. 2.3; 14.  Rozwój obszarów wiejskich i aktywizacja środowiska wiejskiego w Gminie Radków poprzez organizację szkoleń i warsztatu dla mieszkańców - uczestnicy szkoleń wpisani w tab. 6.2; 15. Święto Mleka - 1000 odwiedzających, 45 wystawców; 16. XI Kaczawskie Warsztaty Artystyczne w Dobkowie - promocja sieci współpracy w Krainie Wygasłych Wulkanów - 1500 odwiedzających, 16 wystawców. /////UWAGA DOT. CZĘŚCI KSOW: w wydarzeniach z 2017 roku uwzględniono liczbę odwiedzających, uczestników konferencji. Ilość sztuk publikacji, liczbę uczestników szkoleń, ilośc odcinków audycji tv podano w odpowiadających im tabelach poniżej. Koszty wydarzeń z 2017 r. oprócz konferencji w ramach Planu komunikacyjnego  zostały zaliczone w tab. 8 jako koszty z tab. 1 (wynika to z faktu, że partnerzy KSOW realizowali w kilku przypadkach więcej niż jedną formę operacji).</t>
    </r>
  </si>
  <si>
    <r>
      <t>Komentarze</t>
    </r>
    <r>
      <rPr>
        <sz val="10"/>
        <color theme="1"/>
        <rFont val="Calibri"/>
        <family val="2"/>
      </rPr>
      <t xml:space="preserve"> 
(proszę wskazać co jest rozumiane przez kategorię "inne")</t>
    </r>
  </si>
  <si>
    <t>Działanie bezkosztowe</t>
  </si>
  <si>
    <r>
      <t xml:space="preserve">inne/mieszane= 4 publikacje dotyczące 3 wydarzeń, w tym: 2 publikacje pokonferencyjne, tj. dot. agrotechnicznych aspektów uprawy winorośli oraz procesów koncentracji ziemi i kapitału na obszarach wiejskich Dolnego Śląska. 2 publikacje po Forum Muzeów Domowych, tj. Informator pt.  „Muzea Domowe Informator 2016” (wersja czeska)  oraz Materiały informacyjno-metodyczne pt.”Muzea domowe. Materiały informacyjno-metodyczne. 2”-. Koszty zostały zaliczone w tab. 8 do kosztów zawartych w tab. 1 (wszystkie wydarzenia wpisano w tab. 1); e. Materiały informacyjno-metodyczne. 2”-. Koszty zostały zaliczone w tab. 8 do kosztów zawartych w tab. 1 (wszystkie wydarzenia wpisano w tab. 1), </t>
    </r>
    <r>
      <rPr>
        <b/>
        <sz val="10"/>
        <color theme="1"/>
        <rFont val="Calibri"/>
        <family val="2"/>
        <charset val="238"/>
        <scheme val="minor"/>
      </rPr>
      <t>2017 rok</t>
    </r>
    <r>
      <rPr>
        <sz val="10"/>
        <color theme="1"/>
        <rFont val="Calibri"/>
        <family val="2"/>
        <charset val="238"/>
        <scheme val="minor"/>
      </rPr>
      <t xml:space="preserve"> - 1. Publikacja w postaci mapy Lokalnych Grup Działania funkcjonujących na Dolnym Śląsku dystrybuowana wśród potencjalnych beneficjentów/beneficjentów; 2. Publikacja pokonferencyjna dot. agrotechnicznych aspektów uprawy winorośli - cz. 2; W RAMACH OPERACJI PARTNERÓW KSOW: 1. Doświadczenia, które łaczą - wymiana wiedzy pomiędzy partnerami KSOW - książka kucharska; 2. Edukacja przyrodniczo-leśna jako narzędzie działań na rzecz odtwarzania, ochrony i wzmacniania ekosystemów związanych z leśnictwem na obszarze Doliny Baryczy - folder informacyjny; 3. Działalność międzynarodowej sieci "muzeów domowych" (ze szczególnym uwzględnieniem segmentu dolnoślaskiego) w 2017 r. jako czynnika kulturalnego i społeczno-gospodarczego rozwoju obszarów wiejskich - informator; 4. Rolnictwo wspierane społecznie - zmiejszenie barier wejścia na rynek dla dolnośląskich produktów żywności wysokiej jakości  - monografia; 5. Wsie tematyczne jako idea aktywizacji społecznej i ekonomicznej oraz zachowania dziedzictwa dolnośląskich wsi  - ekspertyza/analiza
</t>
    </r>
  </si>
  <si>
    <r>
      <t xml:space="preserve">Inne/mieszane= Konkurs Nasze kulinarne dziedzictwo - smaki regionów; cykl audycji tv - Zrób to ze smakiem (koszty zostały zaliczone w tab. 8 do kosztów zawartych w trab 2.3, 2.4); </t>
    </r>
    <r>
      <rPr>
        <b/>
        <sz val="10"/>
        <color theme="1"/>
        <rFont val="Calibri"/>
        <family val="2"/>
        <charset val="238"/>
      </rPr>
      <t>2017 rok</t>
    </r>
    <r>
      <rPr>
        <sz val="10"/>
        <color theme="1"/>
        <rFont val="Calibri"/>
        <family val="2"/>
        <charset val="238"/>
      </rPr>
      <t xml:space="preserve"> - 1. cykl audycji w ramach programu "Teraz Wieś" dotyczących działań delegowanych PROW 2014-2020; W RAMACH OPERACJI REALIZOWANYCH PRZEZ PARTNERÓW KSOW: 1. Realizacja audycji telewizyjnej pt. "Zrób to ze smakiem" - cykl audycji dot. promowania produktów regionalnych w kuchni; 2. Edukacja przyrodniczo-leśna jako narzędzie działań na rzecz odtwarzania, ochrony i wzmacniania ekosystemów związanych z leśnictwem na obszarze Doliny Baryczy - cykl audycji edukacyjnych</t>
    </r>
  </si>
  <si>
    <r>
      <t>Komentarze</t>
    </r>
    <r>
      <rPr>
        <b/>
        <sz val="10"/>
        <color indexed="8"/>
        <rFont val="Calibri"/>
        <family val="2"/>
        <charset val="238"/>
      </rPr>
      <t xml:space="preserve"> 
</t>
    </r>
    <r>
      <rPr>
        <sz val="10"/>
        <color indexed="8"/>
        <rFont val="Calibri"/>
        <family val="2"/>
        <charset val="238"/>
      </rPr>
      <t>(proszę wskazać co jest rozumiane przez kategorię "inne")</t>
    </r>
  </si>
  <si>
    <r>
      <t>Komentarze</t>
    </r>
    <r>
      <rPr>
        <sz val="12"/>
        <color indexed="8"/>
        <rFont val="Calibri"/>
        <family val="2"/>
        <charset val="238"/>
      </rPr>
      <t xml:space="preserve"> 
(</t>
    </r>
    <r>
      <rPr>
        <sz val="10"/>
        <color indexed="8"/>
        <rFont val="Calibri"/>
        <family val="2"/>
        <charset val="238"/>
      </rPr>
      <t>proszę wskazać co jest rozumiane przez kategorię "inne")</t>
    </r>
  </si>
  <si>
    <t>Dolnośląska Grupa Robocza ds. KSOW głosowała 20 razy w okresie sprawozdawczym; Grupa Robocza realizowała zadania wynikające z art. 57 ust. 2 pkt 4 ustawy z dnia 20 lutego 2015 r.
o wspieraniu rozwoju obszarów wiejskich z udziałem środków Europejskiego Funduszu Rolnego na rzecz Rozwoju Obszarów Wiejskich w ramach Programu Rozwoju Obszarów Wiejskich na lata 2014–2020; Istnieje 1 grupa robocza, która została wykazana dla każdego roku osobno.</t>
  </si>
  <si>
    <r>
      <rPr>
        <b/>
        <sz val="12"/>
        <color theme="1"/>
        <rFont val="Calibri"/>
        <family val="2"/>
        <charset val="238"/>
        <scheme val="minor"/>
      </rPr>
      <t>Komentarze</t>
    </r>
    <r>
      <rPr>
        <sz val="10"/>
        <color theme="1"/>
        <rFont val="Calibri"/>
        <family val="2"/>
        <scheme val="minor"/>
      </rPr>
      <t xml:space="preserve"> 
</t>
    </r>
    <r>
      <rPr>
        <sz val="10"/>
        <color theme="1"/>
        <rFont val="Calibri"/>
        <family val="2"/>
        <charset val="238"/>
        <scheme val="minor"/>
      </rPr>
      <t>(proszę wskazać co jest rozumiane przez kategorię "inne")</t>
    </r>
  </si>
  <si>
    <r>
      <t xml:space="preserve">Komentarze 
</t>
    </r>
    <r>
      <rPr>
        <sz val="10"/>
        <color indexed="8"/>
        <rFont val="Calibri"/>
        <family val="2"/>
        <charset val="238"/>
      </rPr>
      <t>(proszę wskazać co jest rozumiane przez kategorię "inne")</t>
    </r>
  </si>
  <si>
    <t>2016, 2017 ROK 1. Uczestnikami szkoleń byli potencjalni beneficjnci i beneficjenci działania "Podstawowe usługi i odnowa wsi na obszarach wiejskich" tj. gminy, gminne zaklady komunalne , ośrodki kultury itp. a także Lokalne Grupy Działania; 2017 ROK: W RAMACH OPERACJI PARTNERÓW KSOW: 1. Święto Sera i Wina Spotkanie Regionów - szkolenie dla producentów serów i win; 2. Doświadczenia, które łaczą - wymiana wiedzy pomiędzy partnerami KSOW - Warsztaty kulinarne "Moje jedzenie, moje korzenie" - wymiana wiedzy, doświadczeń pomiędzy Kołami Gospodyń Wiejskich z terenu 3 gmin, wyjazd studyjny - wymiana wiedzy, doświadczeń pomiędzy 3 grupami młodzieży działającej na rzecz lokalnej społeczności oraz Kołami Gospodyń Wiejskich z terenu 3 gmin   3. Tworzenie sieci współpracy pomiędzy Lokalnymi Grupami Działania oraz podniesienie wiedzy Lokalnych Grup Działania w zakresie PROW 2014-2020 na obszarze Dolnego Śląska - szkolenia w: zakresie tworzenia sieci, partnerstw lub kooperatyw na rzecz rozwoju obszarów wiejskich w ramach rozwoju lokalnego,  wykorzystania zasobów naturalnych i ich ochrony oraz przeciwdziałanie zmianom klimatu, rozwoju przedsiębiorczości na obszarach wiejskich, realizacji projektów grantowych przez LGD, jakości żywności,  tworzenia krótkich łańcuchów dostaw w sektorze rolno-spożywczym, wspierania tworzenia sieci współpracy partnerskiej dotyczącej rolnictwa i obszarów wiejskich. 4.   Rozwój obszarów wiejskich i aktywizacja środowiska wiejskiego w Gminie Radków poprzez organizację szkoleń i warsztatu dla mieszkańców - szkolenia w zakresie odnawialnych źródeł energii,  finansowania przedsięwzięć w ochronie środowiska,  zarządzania projektami  z zakresu rozwoju obszarów wiejskich, zastosowania nowoczesnych technologii w uprawach, sprzedaży bezpośredniej oraz wsparcia rozwoju chowu i hodowli bydła w warunkach pogórza, warsztat z plecienia wieńców.</t>
  </si>
  <si>
    <t xml:space="preserve">Uczestnikami szkoleń byli potencjalni beneficjnci i beneficjenci działania "Podstawowe usługi i odnowa wsi na obszarach wiejskich" tj. gminy, gminne zaklady komunalne </t>
  </si>
  <si>
    <t>do kosztów funkcjonowania zaliczone zostały: koszty delegacji, wynagrodzeń, składek członkowskich w ESRDK i ARGE (składki tylko w 2016 r.); posiedzenia Grupy Roboczej były bezkosztowe</t>
  </si>
  <si>
    <t>[KOWR]</t>
  </si>
  <si>
    <t>imprezy lokalne upowszechnianie informacji o działaniach, którymi administruje KOWR w ramach PROW 2014-2020, zakres tematyczny mieszany P2 i P3.</t>
  </si>
  <si>
    <t>upowszechnianie informacji o działaniach, którymi administruje ARR/KOWR w ramach PROW 2014-2020, zakres tematyczny mieszany P2 i P3, ponadto udzielane były informacje na temat działania "Współpraca", informacje o terminach składania wniosków</t>
  </si>
  <si>
    <t xml:space="preserve">Przedmiotem audycji telewizyjnych oraz radiowym były informacje o działaniach, którymi administruje ARR/KOWR w ramach PROW 2014-2020 tj. "Wsparcie działań informacyjnych i promocyjnych realizowanych przez grupy producentów na rynku wewnętrznym", "Wsparcie na przystępowanie do systemów jakości", które dotyczyły termnów składania wniosków o przyznanie pomocy, ilości złożonych wniosków, ilości beneficjentów, zasad udzielania wsparcia. </t>
  </si>
  <si>
    <t>2460 jest to ilość zakupionych pendrivów, podczas szkoleń były nagrywane na nich prezentacje i rozdawane uczestnikom</t>
  </si>
  <si>
    <t>Szkolenia z zakresu działań, którymi administruje ARR w ramach PROW 2014-2020 tj. "Wsparcie działań informacyjnych i promocyjnych realizowanych przez grupy producentów na rynku wewnętrznym", "Wsparcie na przystępowanie do systemów jakości".</t>
  </si>
  <si>
    <t xml:space="preserve">Szkolenia z zakresu działań, którymi administruje ARR/KOWR w ramach PROW 2014-2020 tj. "Wsparcie działań informacyjnych i promocyjnych realizowanych przez grupy producentów na rynku wewnętrznym". </t>
  </si>
  <si>
    <t>Województwo Kujawsko-Pomorskie</t>
  </si>
  <si>
    <r>
      <rPr>
        <sz val="10"/>
        <color theme="1"/>
        <rFont val="Calibri"/>
        <family val="2"/>
        <charset val="238"/>
        <scheme val="minor"/>
      </rPr>
      <t xml:space="preserve">Promocja osiągnięć w sferze rolnictwa i rozwoju obszarów wiejskich (promocja dobrych praktyk) ,  szkolenie i konsultacje z działania "Budowa lub modernizacja dróg lokalnych", stoisko informacyjno-promocyjne PROW 2014-2020 podczas "Kujawsko-Pomorskiego Festiwalu Gęsiny", organizacja stoiska informacyjno-promocyjnego PROW 2014-2020 podczas "Święta gęsi na Krajnie",  stoisko informacyjno-promocyjne PROW 2014-2020 podczas Dożynek Wojewódzkich, stoisko informacyjno-promocyjne PROW 2014-2020 podczas Festiwalu Smaku w Grucznie,przygotowanie panelu tematycznego pn. „Przyszłość wsi i rolnictwa w Polsce (2016-2017). Rola Programu Rozwoju Obszarów Wiejskich 2014-2020.” podczas VIII Otwartego Forum Rolników Pomorza i Kujaw; stoisko informacyjno-promocyjne PROW 2014-2020 podczas spotkania dozynkowego Rolników Pomorza i Kujaw, stoisko informacyjno-promocyjne PROW 2014-2020 podczas Turnieju Rycerskiego w Golubiu -Dobrzyniu, uroczystość podpisania i wręczenia umów dla beneficjentów PROW 2014-2020,; organizacja stoiska informacyjno promocyjnego PROW 2014-2020 podczas VII Ogólnopolskiej Konferencji Naukowej z cyklu " Procesy transformacji obszarów wiejskich" pn. "Innowacje w Rozwoju Obszarów Wiejskich";
</t>
    </r>
    <r>
      <rPr>
        <b/>
        <sz val="10"/>
        <color theme="1"/>
        <rFont val="Calibri"/>
        <family val="2"/>
        <charset val="238"/>
        <scheme val="minor"/>
      </rPr>
      <t>2015 rok</t>
    </r>
    <r>
      <rPr>
        <sz val="10"/>
        <color theme="1"/>
        <rFont val="Calibri"/>
        <family val="2"/>
        <charset val="238"/>
        <scheme val="minor"/>
      </rPr>
      <t xml:space="preserve">
międzynarodowe: V Międzynarodowe Sympozjum Naukowe dla Doktorantów i Studentów Uczelni Rolniczych  pn. „Innowacyjne badania w rolnictwie i na rzecz rozwoju obszarów wiejskich”  w Bydgoszczy ,  Europejski Kongres Menadżerów Agrobiznesu; Międzynarodowe Twrgi Polagra Food'2015 w Poznaniu 
 krajowe:   VIII Otwarte Forum Rolników Pomorza i Kujaw; Forum Turystyki Wiejskiej
</t>
    </r>
    <r>
      <rPr>
        <b/>
        <sz val="10"/>
        <color theme="1"/>
        <rFont val="Calibri"/>
        <family val="2"/>
        <charset val="238"/>
        <scheme val="minor"/>
      </rPr>
      <t>2016 rok</t>
    </r>
    <r>
      <rPr>
        <sz val="10"/>
        <color theme="1"/>
        <rFont val="Calibri"/>
        <family val="2"/>
        <charset val="238"/>
        <scheme val="minor"/>
      </rPr>
      <t xml:space="preserve">
międzynarodowe: VI Międzynarodowe Sympozjum Naukowe dla Doktorantów i Studentów Uczelni Rolniczych  pn. „Innowacyjne badania w rolnictwie i na rzecz rozwoju obszarów wiejskich”  w Bydgoszczy Międzynarodowe Twrgi Polagra Food'2016 w Poznaniu; Grune Woche'2016 w Berlinie; Euiropejska Sieć Dziedzictwa Kulinarnego Region Kujawy i Pomorze; udział w MIędzynarodowym Forum ESDK
krajowe: Forum Rolników Pomorza I Kujaw, Konferencja UTP pn. „Innowacyjne rozwiązania w produkcji rolnej i przetwórstwie rolno-spożywczym impulsem rozwoju rolnictwa Pomorza i Kujaw” ; "Kujawsko-Pomorska Gęsina na Św. Marcina" Wizyta studyjna "Produkt sieciowy i specjalizacja oferty w turystyce wiejskiej – dobre praktyki” Woj. Dolnośląskie; Wyższa Szkoła Gospodarki w Bydgoszczy  konferencja  pn. " Naukowe Obserwatorium Obszarów Wiejskich" 
</t>
    </r>
    <r>
      <rPr>
        <b/>
        <sz val="10"/>
        <color theme="1"/>
        <rFont val="Calibri"/>
        <family val="2"/>
        <charset val="238"/>
        <scheme val="minor"/>
      </rPr>
      <t xml:space="preserve">2017 rok
</t>
    </r>
    <r>
      <rPr>
        <sz val="10"/>
        <color theme="1"/>
        <rFont val="Calibri"/>
        <family val="2"/>
        <charset val="238"/>
        <scheme val="minor"/>
      </rPr>
      <t xml:space="preserve">międzynarodowe: Targi Natura Food w Łodzi, Targi World Food Warsaw, Międzynarodowe Targi Polagra Food, 
krajowe: Targi Pyszna Polska we Wrocławiu, Targi Lato na Wsi w Minikowie
regionalne: VII Piknik LEADER'2017, Konferencja podczas VI Kujawsko-Pomorskiego Forum Turystyki Wiejskiej "Wyróżnij się", Wojewódzki Dzień Pszczelarza, Forum Pszczelarzy, Wystawa "Stoły Wigilijne", 16 imprez plenerowych dofinansowanych w ramach konkursu "Wieś na weekend'2017". W ramach </t>
    </r>
    <r>
      <rPr>
        <b/>
        <sz val="10"/>
        <color theme="1"/>
        <rFont val="Calibri"/>
        <family val="2"/>
        <charset val="238"/>
        <scheme val="minor"/>
      </rPr>
      <t xml:space="preserve">planu komunikacyjnego </t>
    </r>
    <r>
      <rPr>
        <sz val="10"/>
        <color theme="1"/>
        <rFont val="Calibri"/>
        <family val="2"/>
        <charset val="238"/>
        <scheme val="minor"/>
      </rPr>
      <t>zrealizowano następujące przedsięwzięcia: spotkanie robocze dot. "Inwestycji w targowiska lub obiekty budowlane przeznaczone na cele promocji lokalnych produktów"; spotkanie z przedstawicielami Prezydium Lokalnych Grup Działania z terenu Województwa Kujawsko-Pomorskiego; spotkanie wójtów i burmistrzów z terenu Województwa Kujawsko-Pomorskiego; spotkania dot. wskaźników LSR i efektywności LGD na terenie Województwa Kujawsko-Pomorskiego; spotkanie dot. kryteriów PROW 2014-2020; spotkanie informacyjne, podsumuwujące nabór wniosków w ramach działania "Gospodarka wodno-ściekowa" dla beneficjentów PROW 2014-2020; uroczyste podpisanie i wręczenie umów na operacje w ramach podziałania 19.2 "Wsparcie na wdrażanie operacji w ramach strategii Rozowoju Lokalnego Kierowanego przez społeczność" objętego PROW 2014-2020; spotkanie informacyjne, podsumuwujące nabór wniosków w ramach działania "Inwestycje w targowiska lub obiekty budowlane przeznaczone na cele promocji loklanych produktów" dla beneficjentów PROW 2014-2020; orgaznizacja stoiska informacyjno-promocyjnego podczas VI Pikniku Leader; organizacja stoiska informacyjno-promocyjnego PROW 2014-2020 podczas Święta Pomidora; organizacja stoiska informacyjno-promocyjnego PROW 2014-2020 podczas dożynek Województwa Kujawsko-Pomorskiego; organizacja stoiska informacyjno -promocyjnego PROW 2014-2020 podczas Dnia Żurawia.</t>
    </r>
  </si>
  <si>
    <r>
      <rPr>
        <b/>
        <sz val="10"/>
        <color indexed="8"/>
        <rFont val="Calibri"/>
        <family val="2"/>
        <charset val="238"/>
      </rPr>
      <t>2015 rok</t>
    </r>
    <r>
      <rPr>
        <sz val="10"/>
        <color indexed="8"/>
        <rFont val="Calibri"/>
        <family val="2"/>
        <charset val="238"/>
      </rPr>
      <t xml:space="preserve">
międzynarodowe:  Sympozjum naukowe - 150, Europejkis Kongres - 90, Polagra Food - 10 (wystawcy)
krajowe: Forum Turystyki Wiejskiej - 120; Forum Rolników POmorza i Kujaw - 78
</t>
    </r>
    <r>
      <rPr>
        <b/>
        <sz val="10"/>
        <color indexed="8"/>
        <rFont val="Calibri"/>
        <family val="2"/>
        <charset val="238"/>
      </rPr>
      <t>2016 rok</t>
    </r>
    <r>
      <rPr>
        <sz val="10"/>
        <color indexed="8"/>
        <rFont val="Calibri"/>
        <family val="2"/>
        <charset val="238"/>
      </rPr>
      <t xml:space="preserve">
międzynarodow - Grune Woche - 12 (wystawcy), 400.000 (odwiedzający);Forum Rolników Pomorza i Kujaw - 78, Gęsina - 
krajowe: Festiwal smaku - 35012,  Gęsina - 5745; Turniej - 8585
</t>
    </r>
    <r>
      <rPr>
        <b/>
        <sz val="10"/>
        <color indexed="8"/>
        <rFont val="Calibri"/>
        <family val="2"/>
        <charset val="238"/>
      </rPr>
      <t>2017 rok</t>
    </r>
    <r>
      <rPr>
        <sz val="10"/>
        <color indexed="8"/>
        <rFont val="Calibri"/>
        <family val="2"/>
        <charset val="238"/>
      </rPr>
      <t xml:space="preserve">
międzynarodowe: NaturaFood - 1 (wystawcy), 20.000 (odwiedzający), World Food - 1 (wystawcy), 4.738 (odwiedzający), Polagra 6 (wystawcy) 25.000 (odwiedzający), 
krajowe: Pyszna Polska - 1 (wystawcy) 12.000 (odwiedzający), Targi Lato na Wsi - 1 (wystawcy), 20.000 (odwiedzający)
regionalne: Piknik LEADER - 600, Konferencja Forum Turystyki - 110, Dzień Pszczelarza - 3.000, Forum Pszczelarzy - 802, Stoły Wigilijne - 10 (wystawcy) 1.000 (odwiedzający), "Wieś na weekend'2017" - 28.100, wydarzzenia w ramach Planu Komunikacyjnego - 1.998.</t>
    </r>
  </si>
  <si>
    <r>
      <t xml:space="preserve">W zestawieniu ujęto następujące adresy stron:
1. www.kujawsko-pomorskie.ksow.pl 
2. www.agroturystyka.kpodr.pl
3. www.mojregion.eu 
( brak danych za 2015 r. dla stron okrelonych w pkt 2-3)
W zestawieniu za </t>
    </r>
    <r>
      <rPr>
        <b/>
        <sz val="10"/>
        <color indexed="8"/>
        <rFont val="Calibri"/>
        <family val="2"/>
        <charset val="238"/>
      </rPr>
      <t>2017 r.</t>
    </r>
    <r>
      <rPr>
        <sz val="10"/>
        <color indexed="8"/>
        <rFont val="Calibri"/>
        <family val="2"/>
        <charset val="238"/>
      </rPr>
      <t xml:space="preserve"> ujęto następujące adresy stron:
1. www.kujawsko-pomorskie.ksow.pl 
2. www.alewioska.kujawsko-pomorskie.travel
</t>
    </r>
    <r>
      <rPr>
        <sz val="10"/>
        <rFont val="Calibri"/>
        <family val="2"/>
        <charset val="238"/>
      </rPr>
      <t xml:space="preserve">3. www.mojregion.eu </t>
    </r>
  </si>
  <si>
    <t>Inne lub mieszane (proszę doprecyzuj w komentarzach)*</t>
  </si>
  <si>
    <t>*popularyzacja osiągnięć w sferze rolnictwa i rozwoju obszarów wiejskich oraz  promocja osób zasłużonych dla tego rzwoju</t>
  </si>
  <si>
    <t>grupa robocza ds.  KSOW, podejmująca uchwały ws. plaów i sprawozdań</t>
  </si>
  <si>
    <t>W 2015 r. prowadzono konsultacjeprzy opracowywaniu Planu działania KSOW pomiędzy różnymi organizacjami partnerów i ich przedstawicielami w celu ułatwiania wymiany poglądów, pomysłów i doświadczeń oraz przekazania informacji nt. nowych zasad wdrażania  pomocy technicznej KSOW</t>
  </si>
  <si>
    <t>Rodzaj działania - konferencja podsumowkująca projekt</t>
  </si>
  <si>
    <t xml:space="preserve"> przedstawiciele władz samorządowych z regionu, mieszkańcy terenów wiejskich, potencjalni beneficjenci PROW 2014-2020, przedstawiciele uczelni wyższych, </t>
  </si>
  <si>
    <t xml:space="preserve"> Samorząd Województwa Łódzkiego </t>
  </si>
  <si>
    <r>
      <rPr>
        <b/>
        <u/>
        <sz val="12"/>
        <color indexed="8"/>
        <rFont val="Calibri"/>
        <family val="2"/>
        <charset val="238"/>
      </rPr>
      <t>Cel i kontekst Wspólnej Statystyki Sieci</t>
    </r>
    <r>
      <rPr>
        <sz val="12"/>
        <color indexed="8"/>
        <rFont val="Calibri"/>
        <family val="2"/>
      </rPr>
      <t xml:space="preserve">
Wspólna Statystyka Sieci została opracowana przez Punkt Kontaktowy ENRD we współpracy z jednostkami wspierającymi sieci w Państwach Członkowskich UE w celu uzyskania całościowego obrazu dokonań KSOW. Informacja ta zostanie wykorzystana do podsumowania i oceny działań sieci, a także umożliwi porównywanie sieci w różnych krajach UE.
</t>
    </r>
    <r>
      <rPr>
        <b/>
        <u/>
        <sz val="12"/>
        <color indexed="8"/>
        <rFont val="Calibri"/>
        <family val="2"/>
        <charset val="238"/>
      </rPr>
      <t>Powiązania między Wspólną Statystyką Sieci i obligatoryjnymi wskaźnikami monitorowania określonymi w rozporządzeniu wykonawczym KE (UE) nr 808/2014</t>
    </r>
    <r>
      <rPr>
        <sz val="12"/>
        <color indexed="8"/>
        <rFont val="Calibri"/>
        <family val="2"/>
      </rPr>
      <t xml:space="preserve">
Celem Wspólnej Statystyki Sieci jest ułatwienie zbierania danych do obligatoryjnych wskaźników. Wszystkie podmioty zaangażowane w realizację zadań sieci wypełniają tylko arkusz </t>
    </r>
    <r>
      <rPr>
        <i/>
        <sz val="12"/>
        <color indexed="8"/>
        <rFont val="Calibri"/>
        <family val="2"/>
        <charset val="238"/>
      </rPr>
      <t xml:space="preserve">"Wspólna Statystyka Sieci". </t>
    </r>
    <r>
      <rPr>
        <sz val="12"/>
        <color indexed="8"/>
        <rFont val="Calibri"/>
        <family val="2"/>
      </rPr>
      <t xml:space="preserve">
</t>
    </r>
    <r>
      <rPr>
        <b/>
        <u/>
        <sz val="12"/>
        <color indexed="8"/>
        <rFont val="Calibri"/>
        <family val="2"/>
        <charset val="238"/>
      </rPr>
      <t>Definicje i wytyczne do poszczególnych wskaźników</t>
    </r>
    <r>
      <rPr>
        <sz val="12"/>
        <color indexed="8"/>
        <rFont val="Calibri"/>
        <family val="2"/>
      </rPr>
      <t xml:space="preserve">
W opisie poszczególnych wskaźników/mierników znajdują się wytyczne dla każdego wskaźnika. W sytuacji, kiedy wytyczne nie są jasne albo mierniki/wskaźniki nie są możliwe do uzupełnienia - prosimy wypełnić rubrykę "K</t>
    </r>
    <r>
      <rPr>
        <i/>
        <sz val="12"/>
        <color indexed="8"/>
        <rFont val="Calibri"/>
        <family val="2"/>
        <charset val="238"/>
      </rPr>
      <t>omentarze"</t>
    </r>
    <r>
      <rPr>
        <sz val="12"/>
        <color indexed="8"/>
        <rFont val="Calibri"/>
        <family val="2"/>
      </rPr>
      <t xml:space="preserve">. 
 Zakres tematyczny został powiązany z priorytetami PROW 2014-2020.
</t>
    </r>
    <r>
      <rPr>
        <b/>
        <u/>
        <sz val="12"/>
        <color indexed="8"/>
        <rFont val="Calibri"/>
        <family val="2"/>
        <charset val="238"/>
      </rPr>
      <t>Udział w budżecie</t>
    </r>
    <r>
      <rPr>
        <b/>
        <sz val="12"/>
        <color indexed="8"/>
        <rFont val="Calibri"/>
        <family val="2"/>
      </rPr>
      <t xml:space="preserve">
</t>
    </r>
    <r>
      <rPr>
        <sz val="12"/>
        <color indexed="8"/>
        <rFont val="Calibri"/>
        <family val="2"/>
        <charset val="238"/>
      </rPr>
      <t>Szacowany podział budżetu (Tabela 8) ma na celu dostarczenie informacji jak proporcjonalnie środki</t>
    </r>
    <r>
      <rPr>
        <b/>
        <sz val="12"/>
        <color indexed="8"/>
        <rFont val="Calibri"/>
        <family val="2"/>
      </rPr>
      <t xml:space="preserve"> </t>
    </r>
    <r>
      <rPr>
        <sz val="12"/>
        <color indexed="8"/>
        <rFont val="Calibri"/>
        <family val="2"/>
        <charset val="238"/>
      </rPr>
      <t>rocznego budżetu sieci zostały przeznaczone na odpowiednie działania objęte wskaźnikami. Proszę podaj budżet dla poszczególnych kategorii i wskaż trudności w komentarzu.</t>
    </r>
    <r>
      <rPr>
        <sz val="12"/>
        <color indexed="8"/>
        <rFont val="Calibri"/>
        <family val="2"/>
      </rPr>
      <t xml:space="preserve">
</t>
    </r>
    <r>
      <rPr>
        <b/>
        <u/>
        <sz val="12"/>
        <color indexed="8"/>
        <rFont val="Calibri"/>
        <family val="2"/>
        <charset val="238"/>
      </rPr>
      <t/>
    </r>
  </si>
  <si>
    <t xml:space="preserve">Udział w Międzynarodowych Targach Turystyki Wiejskiej i Agroturystyki Agrotravel podczas którego województwo łódzkie i mazowieckie wspólnie zrealizowały projekt pn. "Pociąg do natury", który wygrał Międzynarodowe Targi Turystyki Wiejskiej i Agroturystyki Agrotravel. Podczas targów w przedmiotowym wydarzeniu brały udział również inne jednostki regionalne KSOW. Szacuje się udział 20 000 odwiedzających stoisko województwa łódzkiego  oraz udział 40 osób tj. wystawców.  Zakres tematyczny inne lub mieszane dotyczy udziału samorządu województwa łódzkiego  w wydarzeniach organizowanych przez jednostki samorządu terytorialnego, powiatowego, koła gospodyń wiejskich, sieć LGD, beneficjentów PROW 2014-2020 , gdzie w  ramach  seminariów  informacyjnych przekazywano wiedzę dotyczącą możliwości wykorzystania środków w ramach PROW 2014-2020  m in. Mixer Regionalny finansowany ze środków województwa łódzkiego.    W 2017 r. województwo łódzkie było regionem partnerskim podczas organizacji IX Międzynarodowych Targów Turystyki Wiejskiej i Agroturystyki Agrotravel. Szacuje się, że stoisko odwiedziło 23 000 osób zwiedzających targi, a podczas całego wydarzenia brało udział 120 osób podwystawców reprezentujących nasze region (21 podwystawców  i 4 zespoły).  W ramach Planu Komunikacyjnego uczestniczono w 5 imprezach wystawienniczych (Dożynki Wojewódzkie, Dożynki Prezydenckie, Targi Natura Food, Mixer Regionalny, Dni Turystyki), gdzie stoisko województwa łódzkiego odwiedziło 8600 osób. Zakres tematyczny inne lub mieszane dotyczy udziału samorządu województwa łódzkiego  w wydarzeniach organizowanych przez jednostki samorządu terytorialnego, powiatowego, koła gospodyń wiejskich, sieć LGD, beneficjentów PROW 2014-2020 , gdzie w  ramach 29   seminariów  informacyjnych przekazywano wiedzę dotyczącą możliwości wykorzystania środków w ramach PROW 2014-2020. </t>
  </si>
  <si>
    <t xml:space="preserve">Udział w Międzynarodowych Targach Turystyki Wiejskiej i Agroturystyki. Szacuje się udział 20 000 odwiedzających stoisko województwa łódzkiego  oraz udział 40 osób tj. wystawców.  W 2017 r. podczas udziału w IX Międzynarodowych Targach Turystyki Wiejskiej i Agroturystyki oszacowano, że stoisko województwa łódzkiego odwiedziło 23 000 osób zwiedzających targi, a podczas całego wydarzenia brało udział 120 osób podwystawców reprezentujących nasz region  (21podwystawców  i 4 zespoły).  Udział w 5 wydarzeniach plenerowych stoisko województwa łódzkiego odwiedziło 8600 osób oraz udział w 29 seminariach w których wzięło udział 3925 uczestników. </t>
  </si>
  <si>
    <t xml:space="preserve">W ramach Planu operacyjnego zrealizowano : broszurę w ramach konkursu Bezpieczne Gospodarstwo Rolne, projekt graficzny publikacji "Pociąg do natury",  Trzy numery kwartalnika Wprowadzamy Zmiany", Opublikowano 7 ogłoszenia dotyczące pozyskania środków w ramach PROW 2014-2020 . Tematy mieszane w związku z powyższym 10 z publikacji tj. ogłoszenia i kwartalnik zakwalifikowano do zakresu tematycznego inne lub mieszane. W 2017 r. opublikowano 6 ogłoszeń prasowych  oraz cztery numery kwartalnika "Wprowadzamy Zmiany" tematyka dotycząca pozyskiwania środków w ramach PROW 2014-2020, dlatego zakwalifikowano do tematów mieszanych. </t>
  </si>
  <si>
    <t xml:space="preserve">W ramach konkursu Bezpieczne gospodarstwo rolne wykonano program telewizyjny promujący fundusze unijne. Łącznie w 7 konkursach wzięło udział  1309 przedstawicieli, a ich liczba nie została dodana do tabeli 1.2  i nie  dodano ich do liczby wydarzeń , celem uniknięcia  podwójnego liczenia kosztów.  W ramach Planu komunikacyjnego  wykonano zgodnie z projektami graficznymi następujące nośniki informacji tj. 4  rollupy i ściankę informacyjną oraz zakupiono materiały promocyjne w postaci  produktów regionalnych. W 2015 r . zakupiono  trzy rodzaje miodów, a  w 2016 r. syrop malinowy, sok jabłkowy, sok pomidorowy, konfitura agrestowa, kwas chlebowy  oraz  zestawy tych produktów w koszach. W 2017 r . zorganizowano 5 konkursów w których wzięło udział 251 osób , a ich liczba nie została uwzględniona w tabeli nr 1.2 i nie dodano ich do liczby wydarzeń, celem uniknięcia podwójnego liczenia kosztów. </t>
  </si>
  <si>
    <t xml:space="preserve">Wojewódzka Grupa Robocza ds. KSOW w ramach PROW 2014-2020 została powołana w lipcu 2015 r , a jej zakres prac dotyczy całego obszaru KSOW. </t>
  </si>
  <si>
    <t xml:space="preserve">Wojewódzka Grupa Robocza zajmuje się tematyką dotyczącą całego KSOW w ramach PROW 2014-2020 , a tym samym poruszane są problemy dotyczące obszarów wiejskich we wszystkich aspektach. </t>
  </si>
  <si>
    <t>Liczba artykułów /informacji do publikacji ENRD/ EIP</t>
  </si>
  <si>
    <t xml:space="preserve">Organizacja przez samorząd województwa łódzkiego trzech szkolenia dotyczące: budowy i modernizacji dróg lokalnych,  szkolenie poświęcone dostosowaniu procedur przeprowadzenia naboru i wyboru operacji do nowych wytycznych Ministra Rolnictwa i Rozwoju Wsi i rozporządzenia RLKS, szkolenie dotyczące kwalifikowalności kosztów oraz wypełniania wniosków o przyznanie pomocy na operacje z zakresu gospodarki wodno-kanalizacyjnej. Na szkoleniach omówione zostały zasady wypełniania wniosku o przyznanie pomocy, realizacji projektów, informacje dotyczące poprawnie przeprowadzonego postępowania o udzielenie zamówienia publicznego oraz wytyczne wynikające ze stanowiska Ministerstwa Rolnictwa i Rozwoju Wsi, Podczas szkolenia przekazywano informację nt. możliwości wykorzystania innych środków w ramach działań PROW 20014-2020.  Wzięło w nim udział 514 przedstawicieli gmin, powiatów i lokalnych grup działania z terenu województwa łódzkiego.  W  2017 r. samorząd województwa łódzkiego zorganizował 14 szkoleń dotyczących: podstawowych usług i odnowa wsi na obszarach wiejskich, inwestycje z zakresu budowy i modernizacji dróg lokalnych oraz gospodarki wodnościekowej, wsparcie dla strategii RLKS, . W szkoleniach wzięło udział 628 osób. </t>
  </si>
  <si>
    <t>Uczestnicy szkoleń to: potencjalni beneficjenci działań PROW 2014-2020, przedsiębiorcy, młodzi rolnicy , przedstawiciele jednostek samorządu terytorialnego, dzieci i młodzież z obszarów wiejskich województwa łódzkiego, koła gospodyń wiejskich, pszczelarze, przedstawiciele LGD.</t>
  </si>
  <si>
    <t xml:space="preserve">Koszty wynagrodzeń, najem i utrzymanie powierzchni biurowych, usługi telekomunikacyjne i pocztowe, koszty delegacji . W ramach kosztów funkcjonowania 6 lutego  2017 r.  zorganizowano spotkanie robocze  dla 50 osób nt. konkursu nr 1 dla partnerów KSOW. Liczba ta nie została uwzględniona we wskaźnikach tabeli 6  </t>
  </si>
  <si>
    <t>SR KSOW Województwa Lubelskiego</t>
  </si>
  <si>
    <t xml:space="preserve">W 2017 roku zostały zorganizowane 22 wydarzenia o zasięgu lokalnym, 3 o zasigu krajowym dotyczy to udziału UMWL w tarcgach Natura Food w Łodzi, Smaki Regionów w Poznaniu oraz Targi Ekogala w Rzeszowie. Wydarzenia międzynarodowe dotyczą wyjazdów studyjno szkoleniowych do Belgii i do Chorwacji. </t>
  </si>
  <si>
    <t xml:space="preserve">Liczba zorganizowanych wydarzeń w 2015 roku dotyczy przedsięwzięć zrealizowanych w ramach planu operacyjnego i komuniakacyjnego, który jest częscią planu operacyjnego. W ramach wskazanego planu operacyjnego zorganizowano 14 wydarzeń. Wskazano w poz. 1.11 operacji, natomiast pozostałe 3 zadania zostały ujete w poz.2.3 przedmiotowej tabeli.  Inne- projekt realizowany  w ramach Priorytetu I oraz III.   Przeznaczony dla dordaców oraz beneficjentów wspierających rolnictwo a jednocześnie nastawiony na promocję zasobów naturalnych. (III). Zakres tematyczny  w 2016 roku w kolumnie inne zoastał ujeta konferencja informacyjno - szkoleniowa  dla liderów działających na rzecz rozwoju obszarów wiejskich (P 2,3,6  ). Całkowity koszt gadżetów został ujety w tabeli 8 w pozycji w tym wydarzenia (tab 1) rozdyspopnowanych  podczas wydarzeń. Liczba zorganizowanych  wydarzeń w 2016 roku dotyczy przesięwzięć zrealizowanych w ramach planu operacyjnegi i komunikacyjnego. W ramach planu operacyjnego zorganizowano 24 wydarzenia. 23 to wydarzenia o zasięgu lokalnym, jedno wydarzenie o zasięgu międzynarodowym. W ramach przedięwzięcia o zasiegu miedzynarodowym została zorganizowana 2-dniowa konferencja pt: "Krowanie rozwoju Lubelszczyzny w oparciu o dobre praktyki krajowe i międzynarodowe" wraz z wyjazdem studyjnym, którego uczestnikami byli przedstawicele stowarzyszenia Bihar-Sarret Videkfejlesztesi Egyesulet z Węgier.                              </t>
  </si>
  <si>
    <t>W 2017 roku w wydarzeniach lokalnych/regionalnych na podstawie list obecności udział wzięło 2210 osób. W wydarzeniach krajowych tj. targach odbywających się w Łodzi - Natura Food, Poznaniu - Polagra oraz Rzeszowie- Ekogala, łącznie  liczba osób wizytujacych imprezę około 72000 osób w tym 21 osób przedstawicieli i wystawców Urzędu Marszałkowskiego Województwa Lubelskiego. W wydarzeniach miedzynarodowych tj. wyjazd studyjno - szkoleniowy do Chorwacji wzięło udział 25 osób, wyjazd studyjno - szkoleniowy do Belgii -  28 osób.</t>
  </si>
  <si>
    <t xml:space="preserve">W ramach jednego zadania są trzy listy np. uczestników konferencji, wystawców i np. dzieci biorących udział w konkursie. Problmetyczne jest określenie, czy mamy sumować wszystkich uczestników, jeśli na danych listach są osoby,  które brały udział zarówno w konferencji, jak i konkursach. W 2016 roku zorganizowano konferencję 2-dniową z wyjazdem studyjnym o zasiegu międzynarodowym. W konferencji wzięło udział pierwszego dnia 50 osób t tym 16 osób z Węgier, drugiego dnia konferencji uczestników było 100 osób w tym 16 osób z Węgier.    </t>
  </si>
  <si>
    <t xml:space="preserve"> Do dnia 2 lipca 2016 roku używane były stataystyki google analytics. Od 2 lipca 2016 roku wraz ze stworzeniem nowej strony internetowej używamy nowego narzędzia do prowadzenia statystyk o nazwie Piwik open Source Web Analytics.Używane strony internetowe ksow.lubelskie oraz prow.lubelskie.</t>
  </si>
  <si>
    <t>Media społecznościowe:  Facebook</t>
  </si>
  <si>
    <t>W kolumnie inne podano liczbę newsletterów. Liczba newsletterów w 2016 roku wynosi 105.  W kolumnie liczba publikacji podana jest liczba publikacji. Natomiast nakład trzech  publikacji łącznie w 2015 roku wynosił 31500 sztuk, natomiast w 2016 roku nakład łącznie 4 publikacji wyniósł 17890 sztuk.   W 2017 roku nakład łacznie 3 publikacji wyniósl 15 500 sztuk. W koumnie inne ujęto liczbę newsletterów.</t>
  </si>
  <si>
    <t>W 2017 roku w ramach Planu komunikacyjnego zostały wyemitowane 4 audycje radiowe dotyczące PROW 2014-2020.</t>
  </si>
  <si>
    <t xml:space="preserve">Nie zostały zorganizowane w ramach wsparcia sieci konkursów, natomiast odbyły się w ramach dużych przedsięwzięć konkursy np. dla dzieci uczestniczących w festynie czy imprezie plenerowej. Były to konkursy organizowane w ramach </t>
  </si>
  <si>
    <t xml:space="preserve">  Spotkanie odbyło się w 2015 roku i było związane miedzy innymi z pracami nad Planem Operacyjnym oraz Działania na lata 2014-2020. W 2016 roku odbył się 3  spotkania Grupy Roboczej ds. KSOW, które związane były między innymi z zaopiniowaniem zmian w PO na lata 2016-2017, zaopiniowaniem informacji półrocznej na dzień 30 kwietnia 2016 r oraz spotkanie w sprawie zaopiniowania informacji półrocznej  na dzień 31 sierpnia 2016.W 2017 roku odbyło się 7 glosowań/ spotkań Wojewódzkiej Grupy Roboiczej do spraw KSOW WL.  W spotkaniach/głosowaniach GR zatwierdzała miedzy innymi projekt PO SR KSOW WL na lata 2016-2017 częśc II 2017,  sprawozdanie roczne z realizacji Planu Działania SR KSOW, projekt informacji półrocznej, zmiany w PO JR.  </t>
  </si>
  <si>
    <t>W 2017 roku odbyło się 4 szkolenia oraz 1 warsztaty w tym 4 szkolenia dwudniowe w zwiazku z tym wpisano 9 dni szkoleniowych. W 2017 roku odbyły się trzy wyjazdy studyjne - 5 , 6 oraz 2  dniowy.</t>
  </si>
  <si>
    <t xml:space="preserve">Dwa spotkania szkoleniowe w 2015 roku dla LGD w ramach współpracy i rozwiązywania problemów zgłaszanych przez partnerów KSOW. Każde szkolenia trwało jeden dzień a więc sumując dwa szkolenia to dwa dni. W 2016 roku odbyły się trzy szkolenia dla LGD w tym jedno dwudniowe w związku z tym wpisano trzy dni szkoleniowe. </t>
  </si>
  <si>
    <t xml:space="preserve">W 2017 roku w kolunmie "inne" wpisano liczbe przedstawicieli UMWL bioracych udział w szkoleniach, wyjazdach. </t>
  </si>
  <si>
    <t xml:space="preserve">W 2015 roku w ramach dwóch spotkań szkoleniowych brało udział: w jednym szkoleniu 50 osób a w drugim 390 osób. W 2016 roku w trzech szkoleniach brało udział 142 osoby z LGD oraz 23-ech przedstawicieli Urzędu Marzałkowskiego Województwa Lubelskiego. </t>
  </si>
  <si>
    <t xml:space="preserve"> Koszty funkcjonowania dotyczą: zatrudnienia pracowników KSOW oraz zakupu sprzętu, oprogramowania, licncje i wyposażenia biurowego dla SR KSOW WL. </t>
  </si>
  <si>
    <t>SR KSOW Województwa Lubuskiego</t>
  </si>
  <si>
    <t xml:space="preserve"> 2015 rok- Zadania krajowe - dotyczy wyjazdu studyjnego do woj. Dolnośląskiego oraz udziału w Dożynkach Prezydenckich w Spale , Inne - dotyczywykonania materiałów informacyjno - promocyjnych    oraz kalendarzy na 2016 rok (2 zadania)                                                                                          2016 rok - Inne: dotyczy wykonania materiałów informacyjno - promocyjnych (2 zadania)  oraz wykonania kalendarzy na 2017 rok, zasięg zadania - lokalny/regionalny - jako promocja programu i KSOW na terenie Województwa Lubuskiego.                                                                                                                                                                                                                                                              Zadanie krajowe: Wyjazd  studyjno szkoleniowy do Skierniewic, dla sadowników i doradców rolnych - organizator SR KSOW woj. lubuskie, jednostak sieci - Lubuski Ośrodek Doradztwa Rolniczego w Kalsku oraz wyjazd studyjny do Województwa Małopolskiego  organizator SR KSOW woj. lubuskie, jednostak sieci - przedstawiciele lokalnych grup działania                                                                                                                                                               Zadanie międzynarodowe - dotyczy organizacji i udziału w Międzynarodowych Targach Grune Woche 2016  oraz wyjazd studyjny do Republiki Czeskiej                                                                                                                                                                                                                                                                                                                           2017 -  Zadanie międzynarodowe - dotyczy organizacji i udziału w Międzynarodowych Targach Grune Woche   2017 , inne dotyczy  wykonania badania/ekspertyzy dot. młodzieży na obszarach wiejskich, wyjazdu krajowego do woj. zachodnipomorskiego, wydania publikacji, organizacji warsztatów i konferencji nt. PROW, szkolenia nt, sanitacji wsi z PROW.                                                                                                                                                     </t>
  </si>
  <si>
    <t>2015 rok - Zadanie krajowe - wskaźnik/ilość uczestników dotyczy uczestników wyjazdu studyjnego do woj. Dolnośląskiego 18 osób oraz 15 uczestników/wystawców podczas Dożynek Prezydenckich 2015 w Spale                                                                                                                                                                                                                                                                                                                                               2016 rok -Zadanie: Wyjazd  studyjno szkoleniowy do Skierniewic, dla sadoników i doardców rolnych - organizator SR KSOW woj. lubuskie, jednostak sieci - Lubuski Ośrodek Doradztwa Rolniczego w Kalsku - wskaźnik/ilość uczestników - 25  oraz wyjazd studyjny do Województwa Małopolskiego  organizator SR KSOW woj. lubuskie, jednostak sieci - przedstawiciele lokalnych grup działania    - wskaźnik/ilość uczestników 15                                                                                                                                                                                                 Liczba uczestników wydarzenia międzynarodowego - szacowane ok. 400 000 osób, które odwiedziło Targi Grune Woche 2016. Liczbę szacunkową otrzymano ze strony internetowej: www.targiberlinskie.pl. oraz  wskaźnik/ilość uczestników - 11 wyjazd studyjny do Republiki Czeskiej                              2017 - Liczba uczestników wydarzenia międzynarodowego - szacowane ok. 300 000 osób, które odwiedziło Targi Grune Woche 2017. Liczbę szacunkową otrzymano ze strony internetowej: www.targiberlinskie.pl.</t>
  </si>
  <si>
    <t>Inne - dot. artykułów w prasie nt. PROW, wydania ekspertyzy/badania oraz mapy imprez regionalnych</t>
  </si>
  <si>
    <t>W ramach Planu działania KSOW na lata 2014 – 2020 w działaniu 12 zidentyfikowano 3 dobre praktyki: Konkurs Najpiękniejsza Wieś Lubuska 2016, Cykl artykułów do czasopisma samorządowego REGION, imprezę pn.Powiatowy Folk Festiwal.                                                                                                           w roku 2017 - zidentyfikowano 5 dobrych praktyk. w tym: działanie 4 - Wspólne Lubuskie gwarancją sukcesu - projekt partnerski, działanie 6 -Wydanie ekpertyzy - projekt własny, działanie 9 - OZE, moda czy biznes? - projekt partnerski wyjazd szkoleniowy, działanie 12 - Dni Otwartych Farm, działanie 13 - wydanie publikacji na temat imprez cyklicznych</t>
  </si>
  <si>
    <t>Wojewódzka Grupa Robocza - realizacja priorytetów KSOW, przygotowywanie dwuletnich Planów Operacyjnych, opiniowanie zmian PO oraz Planu Działania KSOW na lata 2014 - 2020., identyfikacja i analiza potrzeb regionu w kontekście zadań KSOW.</t>
  </si>
  <si>
    <t>Inne: 1) wyjazd studyjno szkoleniowy do Skierniewic, dla sadoników i doradców rolnych - 25 osób, 2) Wyjazd studyjny  szkoleniowy do Iłowy, dla społeczności wiejskiej - 69</t>
  </si>
  <si>
    <t>Inne - liczba uczestników dotyczy wyjzdu studyjnego do Skierniewic (sadownicy), który był połączeniem szkolenia oraz wyjazdu studyjnego</t>
  </si>
  <si>
    <r>
      <rPr>
        <b/>
        <sz val="12"/>
        <color theme="1"/>
        <rFont val="Calibri"/>
        <family val="2"/>
      </rPr>
      <t xml:space="preserve">Komentarze </t>
    </r>
    <r>
      <rPr>
        <sz val="10"/>
        <color theme="1"/>
        <rFont val="Calibri"/>
        <family val="2"/>
      </rPr>
      <t>(proszę wskazać także inne kategorie)</t>
    </r>
  </si>
  <si>
    <t xml:space="preserve">Na koszty funkcjonowania składają się: wynagrodzenia, obsługa prawna, czynsz, telefony, media, delegacje </t>
  </si>
  <si>
    <t>[Województwo Małopolskie]</t>
  </si>
  <si>
    <r>
      <rPr>
        <b/>
        <u/>
        <sz val="11"/>
        <color theme="1"/>
        <rFont val="Calibri"/>
        <family val="2"/>
        <charset val="238"/>
        <scheme val="minor"/>
      </rPr>
      <t xml:space="preserve">Rok 2015:  </t>
    </r>
    <r>
      <rPr>
        <b/>
        <sz val="11"/>
        <color theme="1"/>
        <rFont val="Calibri"/>
        <family val="2"/>
        <charset val="238"/>
        <scheme val="minor"/>
      </rPr>
      <t xml:space="preserve">Wydarzenia krajowe: </t>
    </r>
    <r>
      <rPr>
        <sz val="11"/>
        <color theme="1"/>
        <rFont val="Calibri"/>
        <family val="2"/>
        <charset val="238"/>
        <scheme val="minor"/>
      </rPr>
      <t xml:space="preserve">Udział w targach Smaki Regionów, Udział w Dożynkach Prezydenckich w Spale. </t>
    </r>
    <r>
      <rPr>
        <b/>
        <sz val="11"/>
        <color theme="1"/>
        <rFont val="Calibri"/>
        <family val="2"/>
        <charset val="238"/>
        <scheme val="minor"/>
      </rPr>
      <t>Wydarzenia lokalne/regionalne:</t>
    </r>
    <r>
      <rPr>
        <sz val="11"/>
        <color theme="1"/>
        <rFont val="Calibri"/>
        <family val="2"/>
        <charset val="238"/>
        <scheme val="minor"/>
      </rPr>
      <t xml:space="preserve"> Szkolenie dla instytucji wdrażającej PROW 2014-2020 w dniu 21.12.2015 r. Wykonanie materiałów promocyjnych - promocja PROW 2014 - 2020 . Kampania Zasmakuj  w Małopolsce, Udział w Targach Horeca Gastrofood w Krakowie.</t>
    </r>
    <r>
      <rPr>
        <u/>
        <sz val="11"/>
        <color theme="1"/>
        <rFont val="Calibri"/>
        <family val="2"/>
        <charset val="238"/>
        <scheme val="minor"/>
      </rPr>
      <t xml:space="preserve"> </t>
    </r>
    <r>
      <rPr>
        <b/>
        <u/>
        <sz val="11"/>
        <color theme="1"/>
        <rFont val="Calibri"/>
        <family val="2"/>
        <charset val="238"/>
        <scheme val="minor"/>
      </rPr>
      <t>Rok 2016</t>
    </r>
    <r>
      <rPr>
        <u/>
        <sz val="11"/>
        <color theme="1"/>
        <rFont val="Calibri"/>
        <family val="2"/>
        <charset val="238"/>
        <scheme val="minor"/>
      </rPr>
      <t>:</t>
    </r>
    <r>
      <rPr>
        <sz val="11"/>
        <color theme="1"/>
        <rFont val="Calibri"/>
        <family val="2"/>
        <charset val="238"/>
        <scheme val="minor"/>
      </rPr>
      <t xml:space="preserve"> W</t>
    </r>
    <r>
      <rPr>
        <b/>
        <sz val="11"/>
        <color theme="1"/>
        <rFont val="Calibri"/>
        <family val="2"/>
        <charset val="238"/>
        <scheme val="minor"/>
      </rPr>
      <t>ydarzenia lokalne/regionalne:</t>
    </r>
    <r>
      <rPr>
        <sz val="11"/>
        <color theme="1"/>
        <rFont val="Calibri"/>
        <family val="2"/>
        <charset val="238"/>
        <scheme val="minor"/>
      </rPr>
      <t xml:space="preserve"> Uroczyste wręczenie umów LGD na realizację LSR: Kraków,Tarnów, Nowy Sącz, Szkolenia, spotkania, warsztaty dla potencjalnych beneficjentów PROW 2014-2020, Spotkanie - Forum Wojtów, Burmistrzów i Prezydentów Malopolski, </t>
    </r>
    <r>
      <rPr>
        <b/>
        <sz val="11"/>
        <color theme="1"/>
        <rFont val="Calibri"/>
        <family val="2"/>
        <charset val="238"/>
        <scheme val="minor"/>
      </rPr>
      <t xml:space="preserve">Wydarzenia międzynarodowe: </t>
    </r>
    <r>
      <rPr>
        <sz val="11"/>
        <color theme="1"/>
        <rFont val="Calibri"/>
        <family val="2"/>
        <charset val="238"/>
        <scheme val="minor"/>
      </rPr>
      <t xml:space="preserve">Udział w Międzynarodowych Targach Rolno-Spożywczych Grune Woche, </t>
    </r>
    <r>
      <rPr>
        <b/>
        <sz val="11"/>
        <color theme="1"/>
        <rFont val="Calibri"/>
        <family val="2"/>
        <charset val="238"/>
        <scheme val="minor"/>
      </rPr>
      <t xml:space="preserve">Wydarzenia krajowe: </t>
    </r>
    <r>
      <rPr>
        <sz val="11"/>
        <color theme="1"/>
        <rFont val="Calibri"/>
        <family val="2"/>
        <charset val="238"/>
        <scheme val="minor"/>
      </rPr>
      <t>Udział w targach Agrotravel w Kielcach, udział w targach Produktów Regionalnych Regionalia w Warszawie, udział w targach Smaki Regionów w Poznaniu.</t>
    </r>
    <r>
      <rPr>
        <u/>
        <sz val="11"/>
        <color theme="1"/>
        <rFont val="Calibri"/>
        <family val="2"/>
        <charset val="238"/>
        <scheme val="minor"/>
      </rPr>
      <t xml:space="preserve"> </t>
    </r>
    <r>
      <rPr>
        <b/>
        <u/>
        <sz val="11"/>
        <color theme="1"/>
        <rFont val="Calibri"/>
        <family val="2"/>
        <charset val="238"/>
        <scheme val="minor"/>
      </rPr>
      <t>Rok 2017:</t>
    </r>
    <r>
      <rPr>
        <sz val="11"/>
        <color theme="1"/>
        <rFont val="Calibri"/>
        <family val="2"/>
        <charset val="238"/>
        <scheme val="minor"/>
      </rPr>
      <t xml:space="preserve">  Wydarzenia międzynarodowe: Udział w Międzynarodowych Targach Rolno-Spożywczych Grune Woche. Wydarzenia lokalne/regionalne: 3 spotkania - Uroczyste wręcznie umów wod-kan (Kraków, Tarnów, Nowy Sącz). Projekty partnerów KSOW pn.: 2 imprezy plenerowe. Wramach projektu szkoleniowego partnera KSOW  - stoisko informacyjne podczas 3 imprez w plenerze.</t>
    </r>
  </si>
  <si>
    <r>
      <rPr>
        <b/>
        <u/>
        <sz val="11"/>
        <color theme="1"/>
        <rFont val="Calibri"/>
        <family val="2"/>
        <charset val="238"/>
        <scheme val="minor"/>
      </rPr>
      <t>Rok 2015:</t>
    </r>
    <r>
      <rPr>
        <sz val="11"/>
        <color theme="1"/>
        <rFont val="Calibri"/>
        <family val="2"/>
        <charset val="238"/>
        <scheme val="minor"/>
      </rPr>
      <t xml:space="preserve"> </t>
    </r>
    <r>
      <rPr>
        <b/>
        <sz val="11"/>
        <color theme="1"/>
        <rFont val="Calibri"/>
        <family val="2"/>
        <charset val="238"/>
        <scheme val="minor"/>
      </rPr>
      <t xml:space="preserve">Wydarzenia krajowe: </t>
    </r>
    <r>
      <rPr>
        <sz val="11"/>
        <color theme="1"/>
        <rFont val="Calibri"/>
        <family val="2"/>
        <charset val="238"/>
        <scheme val="minor"/>
      </rPr>
      <t>Udział w targach Smaki Regionów, Udział w Dożynkach Prezydenckich w Spale.</t>
    </r>
    <r>
      <rPr>
        <b/>
        <sz val="11"/>
        <color theme="1"/>
        <rFont val="Calibri"/>
        <family val="2"/>
        <charset val="238"/>
        <scheme val="minor"/>
      </rPr>
      <t xml:space="preserve"> Wydarzenia lokalne/regionalne: </t>
    </r>
    <r>
      <rPr>
        <sz val="11"/>
        <color theme="1"/>
        <rFont val="Calibri"/>
        <family val="2"/>
        <charset val="238"/>
        <scheme val="minor"/>
      </rPr>
      <t>Szkolenie dla instytucji wdrażającej PROW 2014-2020 w dniu 21.12.2015 r. Wykonanie materiałów promocyjnych - promocja PROW 2014 - 2020 . Kampania Zasmakuj  w Małopolsce, Udział w Targach Horeca Gastrofood w Krakowie.</t>
    </r>
    <r>
      <rPr>
        <b/>
        <sz val="11"/>
        <color theme="1"/>
        <rFont val="Calibri"/>
        <family val="2"/>
        <charset val="238"/>
        <scheme val="minor"/>
      </rPr>
      <t xml:space="preserve"> </t>
    </r>
    <r>
      <rPr>
        <b/>
        <u/>
        <sz val="11"/>
        <color theme="1"/>
        <rFont val="Calibri"/>
        <family val="2"/>
        <charset val="238"/>
        <scheme val="minor"/>
      </rPr>
      <t>Rok 2016</t>
    </r>
    <r>
      <rPr>
        <b/>
        <sz val="11"/>
        <color theme="1"/>
        <rFont val="Calibri"/>
        <family val="2"/>
        <charset val="238"/>
        <scheme val="minor"/>
      </rPr>
      <t xml:space="preserve">: Wydarzenia międzynarodowe: </t>
    </r>
    <r>
      <rPr>
        <sz val="11"/>
        <color theme="1"/>
        <rFont val="Calibri"/>
        <family val="2"/>
        <charset val="238"/>
        <scheme val="minor"/>
      </rPr>
      <t xml:space="preserve">Udział w Targach Grune Woche w Berlinie: około 400 000,00 - odwiedzających, </t>
    </r>
    <r>
      <rPr>
        <b/>
        <sz val="11"/>
        <color theme="1"/>
        <rFont val="Calibri"/>
        <family val="2"/>
        <charset val="238"/>
        <scheme val="minor"/>
      </rPr>
      <t>Wydarzenia krajowe</t>
    </r>
    <r>
      <rPr>
        <sz val="11"/>
        <color theme="1"/>
        <rFont val="Calibri"/>
        <family val="2"/>
        <charset val="238"/>
        <scheme val="minor"/>
      </rPr>
      <t xml:space="preserve">: Agrotravel w Kielcach: około 20 000,00 - odwiedzających, Regionalia w Warszawie: około 12 000,00 - odwiedzających, , Promocja Województwa Małopolskiego na targach Smaki Regionów w Poznaniu około 500 000 odwiedzających, </t>
    </r>
    <r>
      <rPr>
        <b/>
        <sz val="11"/>
        <color theme="1"/>
        <rFont val="Calibri"/>
        <family val="2"/>
        <charset val="238"/>
        <scheme val="minor"/>
      </rPr>
      <t>Wydarzenia lokalne/regionalne</t>
    </r>
    <r>
      <rPr>
        <sz val="11"/>
        <color theme="1"/>
        <rFont val="Calibri"/>
        <family val="2"/>
        <charset val="238"/>
        <scheme val="minor"/>
      </rPr>
      <t xml:space="preserve">: Zorganizowanie konferencji dla LGD: 72 - uczestników, Uroczyste wręczenie umów LGD na realizację LSR: 71 - uczestników , Szkolenia dla LGD 6 szkoleń -z list obecności, Szkolenia dla potencjalnych beneficjentów PROW, Forum Wójtów,Burmistrzów i Prezydentów Małopolski, Uroczyste rozdanie umów podpisanych na działanie "Budowa lub modernizacja dróg lokalnych", Udział w targach Regionalia w Warszawie - liczba odwiedzających targi około 200 000 odwiedzających, Rozwój i promocja szlaku kulinarnego "Małopolska Trasa dla Smakoszy", Doskonalenie zawodowe kadr turystyki wiejskiej w Małopolsce- cykl 4 szkoleń -154 uczestników zgodnie z listami obecności, Wyjazdy studyjne dotyczące promocji produków regionalnych i tradycyjnych - 54 uczestników,  cykl szkoleń dotyczących sprzedaży bezpośredniej -367 osób. </t>
    </r>
    <r>
      <rPr>
        <b/>
        <u/>
        <sz val="11"/>
        <color theme="1"/>
        <rFont val="Calibri"/>
        <family val="2"/>
        <charset val="238"/>
        <scheme val="minor"/>
      </rPr>
      <t xml:space="preserve">Rok 2017: </t>
    </r>
    <r>
      <rPr>
        <sz val="11"/>
        <color theme="1"/>
        <rFont val="Calibri"/>
        <family val="2"/>
        <charset val="238"/>
        <scheme val="minor"/>
      </rPr>
      <t>Wydarzenia międzynarodowe: Udział w Targach Grune Woche w Berlinie: około 400 000,00 - odwiedzających. Wydarzenia lokalne/regionalne:  3 spotkania - Uroczyste wręcznie umów wod-kan (Kraków, Tarnów, Nowy Sącz), Projekty partnerów KSOW dwie imprezy plenerowe,</t>
    </r>
  </si>
  <si>
    <r>
      <rPr>
        <b/>
        <u/>
        <sz val="11"/>
        <color theme="1"/>
        <rFont val="Calibri"/>
        <family val="2"/>
        <charset val="238"/>
        <scheme val="minor"/>
      </rPr>
      <t xml:space="preserve">2015 r.: </t>
    </r>
    <r>
      <rPr>
        <sz val="11"/>
        <color theme="1"/>
        <rFont val="Calibri"/>
        <family val="2"/>
        <charset val="238"/>
        <scheme val="minor"/>
      </rPr>
      <t xml:space="preserve">Wkładka Dożynkowa, </t>
    </r>
    <r>
      <rPr>
        <b/>
        <u/>
        <sz val="11"/>
        <color theme="1"/>
        <rFont val="Calibri"/>
        <family val="2"/>
        <charset val="238"/>
        <scheme val="minor"/>
      </rPr>
      <t>2016 r.:</t>
    </r>
    <r>
      <rPr>
        <sz val="11"/>
        <color theme="1"/>
        <rFont val="Calibri"/>
        <family val="2"/>
        <charset val="238"/>
        <scheme val="minor"/>
      </rPr>
      <t xml:space="preserve"> , Wkładka Dożynkowa, Publikacja realizowana w ramach partnerskiego projektu "Wieś dla Smakoszy",</t>
    </r>
    <r>
      <rPr>
        <b/>
        <u/>
        <sz val="11"/>
        <color theme="1"/>
        <rFont val="Calibri"/>
        <family val="2"/>
        <charset val="238"/>
        <scheme val="minor"/>
      </rPr>
      <t>2017 r.:</t>
    </r>
    <r>
      <rPr>
        <sz val="11"/>
        <color theme="1"/>
        <rFont val="Calibri"/>
        <family val="2"/>
        <charset val="238"/>
        <scheme val="minor"/>
      </rPr>
      <t xml:space="preserve"> Wkładka Dożynkowa, publikacje partnerów zrealizowane w ramach operacji wybranych do realizacji po przeprowadzonym naborze 1/2017</t>
    </r>
  </si>
  <si>
    <r>
      <rPr>
        <b/>
        <u/>
        <sz val="11"/>
        <color theme="1"/>
        <rFont val="Calibri"/>
        <family val="2"/>
        <charset val="238"/>
        <scheme val="minor"/>
      </rPr>
      <t>2015 r.:</t>
    </r>
    <r>
      <rPr>
        <b/>
        <sz val="11"/>
        <color theme="1"/>
        <rFont val="Calibri"/>
        <family val="2"/>
        <charset val="238"/>
        <scheme val="minor"/>
      </rPr>
      <t xml:space="preserve">  </t>
    </r>
    <r>
      <rPr>
        <sz val="11"/>
        <color theme="1"/>
        <rFont val="Calibri"/>
        <family val="2"/>
        <charset val="238"/>
        <scheme val="minor"/>
      </rPr>
      <t xml:space="preserve"> Cykl reportaży TV "Odmieniona Mąlopolska" - promocja efektów wdrażania PROW 2007-2013, </t>
    </r>
    <r>
      <rPr>
        <b/>
        <sz val="11"/>
        <color theme="1"/>
        <rFont val="Calibri"/>
        <family val="2"/>
        <charset val="238"/>
        <scheme val="minor"/>
      </rPr>
      <t>2016 r.:</t>
    </r>
    <r>
      <rPr>
        <sz val="11"/>
        <color theme="1"/>
        <rFont val="Calibri"/>
        <family val="2"/>
        <charset val="238"/>
        <scheme val="minor"/>
      </rPr>
      <t xml:space="preserve"> Cykl reportaży promujących
PROW 2014-2020, Przygotowanie i emisja 4 audycji TV promujących ideę Sieci Dziedzictwa Kulinarnego Małopolska,  audycje promujące szlak "Wieś dla Smakoszy". </t>
    </r>
    <r>
      <rPr>
        <b/>
        <u/>
        <sz val="11"/>
        <color theme="1"/>
        <rFont val="Calibri"/>
        <family val="2"/>
        <charset val="238"/>
        <scheme val="minor"/>
      </rPr>
      <t>2017 r.:</t>
    </r>
    <r>
      <rPr>
        <sz val="11"/>
        <color theme="1"/>
        <rFont val="Calibri"/>
        <family val="2"/>
        <charset val="238"/>
        <scheme val="minor"/>
      </rPr>
      <t xml:space="preserve"> Spot reklamowy w radiu - zrealizowany w ramach operacji partnera KSOW.</t>
    </r>
  </si>
  <si>
    <r>
      <t xml:space="preserve">2015 r.: </t>
    </r>
    <r>
      <rPr>
        <sz val="11"/>
        <color theme="1"/>
        <rFont val="Calibri"/>
        <family val="2"/>
        <charset val="238"/>
        <scheme val="minor"/>
      </rPr>
      <t xml:space="preserve">Małopolska Grupa Robocza odbyła jedno spotkanie i 1 opiniowanie w trybie obiegowycm, </t>
    </r>
    <r>
      <rPr>
        <b/>
        <u/>
        <sz val="11"/>
        <color theme="1"/>
        <rFont val="Calibri"/>
        <family val="2"/>
        <charset val="238"/>
        <scheme val="minor"/>
      </rPr>
      <t xml:space="preserve">2016 r.: </t>
    </r>
    <r>
      <rPr>
        <sz val="11"/>
        <color theme="1"/>
        <rFont val="Calibri"/>
        <family val="2"/>
        <charset val="238"/>
        <scheme val="minor"/>
      </rPr>
      <t>Małopolska Grupa Robocza ds. KSOW, Grupa opiniowała dokumenty obiegowo, 6 - obiegów dokumentów oraz jedno posiedzenie w siedzibie Urzędu Marszałkowskiego Województwa Małopolskiego.</t>
    </r>
    <r>
      <rPr>
        <sz val="11"/>
        <color theme="1"/>
        <rFont val="Calibri"/>
        <family val="2"/>
        <charset val="238"/>
        <scheme val="minor"/>
      </rPr>
      <t xml:space="preserve"> </t>
    </r>
    <r>
      <rPr>
        <b/>
        <u/>
        <sz val="11"/>
        <color theme="1"/>
        <rFont val="Calibri"/>
        <family val="2"/>
        <charset val="238"/>
        <scheme val="minor"/>
      </rPr>
      <t>2017 r.</t>
    </r>
    <r>
      <rPr>
        <b/>
        <i/>
        <u/>
        <sz val="11"/>
        <color theme="1"/>
        <rFont val="Calibri"/>
        <family val="2"/>
        <charset val="238"/>
        <scheme val="minor"/>
      </rPr>
      <t>:</t>
    </r>
    <r>
      <rPr>
        <sz val="11"/>
        <color theme="1"/>
        <rFont val="Calibri"/>
        <family val="2"/>
        <charset val="238"/>
        <scheme val="minor"/>
      </rPr>
      <t xml:space="preserve"> jedno posiedzenie Małopolskiej Grupy Roboczej oraz opiniowanie dokumentów w trybie obiegowym (4). Jedno posiedzenie GR przy Konwencie Marszałków.</t>
    </r>
  </si>
  <si>
    <r>
      <rPr>
        <b/>
        <sz val="11"/>
        <color theme="1"/>
        <rFont val="Calibri"/>
        <family val="2"/>
        <charset val="238"/>
        <scheme val="minor"/>
      </rPr>
      <t>2015 r. :</t>
    </r>
    <r>
      <rPr>
        <sz val="11"/>
        <color theme="1"/>
        <rFont val="Calibri"/>
        <family val="2"/>
        <charset val="238"/>
        <scheme val="minor"/>
      </rPr>
      <t xml:space="preserve"> 14 człkonków Małopolskiej Grupy Roboczej obradowało, </t>
    </r>
    <r>
      <rPr>
        <b/>
        <sz val="11"/>
        <color theme="1"/>
        <rFont val="Calibri"/>
        <family val="2"/>
        <charset val="238"/>
        <scheme val="minor"/>
      </rPr>
      <t>2016 r.:</t>
    </r>
    <r>
      <rPr>
        <sz val="11"/>
        <color theme="1"/>
        <rFont val="Calibri"/>
        <family val="2"/>
        <charset val="238"/>
        <scheme val="minor"/>
      </rPr>
      <t xml:space="preserve"> Liczba członków Małopolskiej Grupy Roboczej ds. KSOW, w obiegowym opiniowaniu dokumentów brało udział 72 członków 
(6 obiegów i 1 posiedzenie).</t>
    </r>
    <r>
      <rPr>
        <b/>
        <sz val="11"/>
        <color theme="1"/>
        <rFont val="Calibri"/>
        <family val="2"/>
        <charset val="238"/>
        <scheme val="minor"/>
      </rPr>
      <t>2017 r.:</t>
    </r>
    <r>
      <rPr>
        <sz val="11"/>
        <color theme="1"/>
        <rFont val="Calibri"/>
        <family val="2"/>
        <charset val="238"/>
        <scheme val="minor"/>
      </rPr>
      <t xml:space="preserve"> W posiedzeniu i czterech obiegach brało łącznie udział 60 osób, w posiedzeniu GR przy Konwencie Marszałków: 73 osoby</t>
    </r>
  </si>
  <si>
    <r>
      <rPr>
        <b/>
        <u/>
        <sz val="8"/>
        <color theme="1"/>
        <rFont val="Calibri"/>
        <family val="2"/>
        <charset val="238"/>
        <scheme val="minor"/>
      </rPr>
      <t>2015 r.</t>
    </r>
    <r>
      <rPr>
        <b/>
        <sz val="8"/>
        <color theme="1"/>
        <rFont val="Calibri"/>
        <family val="2"/>
        <charset val="238"/>
        <scheme val="minor"/>
      </rPr>
      <t xml:space="preserve">: </t>
    </r>
    <r>
      <rPr>
        <sz val="8"/>
        <color theme="1"/>
        <rFont val="Calibri"/>
        <family val="2"/>
        <scheme val="minor"/>
      </rPr>
      <t>Szkolenie dla instytucji wdrażającej PROW 21.12.2015 r., Dwa szkolenia dla LGD ,</t>
    </r>
    <r>
      <rPr>
        <b/>
        <sz val="8"/>
        <color theme="1"/>
        <rFont val="Calibri"/>
        <family val="2"/>
        <charset val="238"/>
        <scheme val="minor"/>
      </rPr>
      <t xml:space="preserve"> </t>
    </r>
    <r>
      <rPr>
        <b/>
        <u/>
        <sz val="8"/>
        <color theme="1"/>
        <rFont val="Calibri"/>
        <family val="2"/>
        <charset val="238"/>
        <scheme val="minor"/>
      </rPr>
      <t>2016 r</t>
    </r>
    <r>
      <rPr>
        <b/>
        <sz val="8"/>
        <color theme="1"/>
        <rFont val="Calibri"/>
        <family val="2"/>
        <charset val="238"/>
        <scheme val="minor"/>
      </rPr>
      <t>.</t>
    </r>
    <r>
      <rPr>
        <sz val="8"/>
        <color theme="1"/>
        <rFont val="Calibri"/>
        <family val="2"/>
        <scheme val="minor"/>
      </rPr>
      <t xml:space="preserve">: Szkolenia dla potencjalnych beneficjentów działania "Podstawowe usługi i odnowa miejscowości na obszarach wiejskich" PROW na lata 2014-2020 w zakresie budowy lub modernizacji dróg lokalnych,  Szkolenia dla potencjalnych beneficjentów poddziałania „Wsparcie na inwestycje związane z rozwojem, modernizacją i dostosowaniem rolnictwa i leśnictwa” PROW na lata 2014-2020, Szkolenie dla osób chcących prowadzić punkty „Wieś dla smakoszy” oraz osób współpracujących,szkolenia dotyczące sprzedaży bezpośredniej, szkolenia dotyczące doskonalenia kadry turystyki wiejskiej, wyjazdy studyjne dotyczące produktów regionalnych i tradycyjnych, szkolenia dla LGD. </t>
    </r>
    <r>
      <rPr>
        <b/>
        <u/>
        <sz val="8"/>
        <color theme="1"/>
        <rFont val="Calibri"/>
        <family val="2"/>
        <charset val="238"/>
        <scheme val="minor"/>
      </rPr>
      <t>2017 r:</t>
    </r>
    <r>
      <rPr>
        <sz val="8"/>
        <color theme="1"/>
        <rFont val="Calibri"/>
        <family val="2"/>
        <scheme val="minor"/>
      </rPr>
      <t xml:space="preserve"> 9  szkoleń dla potencjalnych beneficjentów PROW 2014-2020, partnerów KSOW, 23 szkolenia dla LGD. Wykonanie roll-upów z wizualizacją PROW 2014-2020. Projekty partnerów KSOW: dwa wyjazdy studyjne, 6 projektów polegających na prezprowadzeniu szkoleń oraz warsztatów i konferencji, łącznie 32 szkolenia/wartaty/wyjazdy studyjne/konferencje.</t>
    </r>
  </si>
  <si>
    <r>
      <rPr>
        <b/>
        <sz val="11"/>
        <color theme="1"/>
        <rFont val="Calibri"/>
        <family val="2"/>
        <charset val="238"/>
        <scheme val="minor"/>
      </rPr>
      <t>2015 r:</t>
    </r>
    <r>
      <rPr>
        <sz val="11"/>
        <color theme="1"/>
        <rFont val="Calibri"/>
        <family val="2"/>
        <charset val="238"/>
        <scheme val="minor"/>
      </rPr>
      <t xml:space="preserve"> Przedstawiciele instytucji wdrażającej, Przedstawiciele Urzędów Gmin i Powiatów, , Lokalne Grupy Działania, potencjalni beneficjenci PROW 2014-2020, </t>
    </r>
    <r>
      <rPr>
        <b/>
        <sz val="11"/>
        <color theme="1"/>
        <rFont val="Calibri"/>
        <family val="2"/>
        <charset val="238"/>
        <scheme val="minor"/>
      </rPr>
      <t xml:space="preserve">2016 r.: </t>
    </r>
    <r>
      <rPr>
        <sz val="11"/>
        <color theme="1"/>
        <rFont val="Calibri"/>
        <family val="2"/>
        <charset val="238"/>
        <scheme val="minor"/>
      </rPr>
      <t xml:space="preserve">Przedstawiciele Urzędów Gmin i Powiatów, Osoby chcące prowadzić punkty „Wieś dla smakoszy”, rolnicy, właściciele gospodarstw agoturystycznych i ekologicznych, producenci. Lokalne Grupy Działania, potencjalni beneficjenci PROW 2014-2020. </t>
    </r>
    <r>
      <rPr>
        <b/>
        <sz val="11"/>
        <color theme="1"/>
        <rFont val="Calibri"/>
        <family val="2"/>
        <charset val="238"/>
        <scheme val="minor"/>
      </rPr>
      <t xml:space="preserve">2017 r: </t>
    </r>
    <r>
      <rPr>
        <sz val="11"/>
        <color theme="1"/>
        <rFont val="Calibri"/>
        <family val="2"/>
        <charset val="238"/>
        <scheme val="minor"/>
      </rPr>
      <t>potencjalni beneficjenci PROW 2014-2020, przedstawiciele gmin, LGD, partnerzy KSOW.</t>
    </r>
  </si>
  <si>
    <t>Koszty funkcjonowania: wynagrodzenia, delegacje, szkolenia pracowników, czynsz, koszty sprzątania, abonament telefoniczny</t>
  </si>
  <si>
    <t>[jednostka regionalna województwo mazowieckie]</t>
  </si>
  <si>
    <r>
      <rPr>
        <b/>
        <sz val="10"/>
        <color indexed="8"/>
        <rFont val="Calibri"/>
        <family val="2"/>
        <charset val="238"/>
      </rPr>
      <t>2015: Wydarzenia o zasięgu międzynarodowym</t>
    </r>
    <r>
      <rPr>
        <sz val="10"/>
        <color indexed="8"/>
        <rFont val="Calibri"/>
        <family val="2"/>
        <charset val="238"/>
      </rPr>
      <t xml:space="preserve">: dwie wizyty studyjne do Słowenii i Wielkiej Brytanii, </t>
    </r>
    <r>
      <rPr>
        <b/>
        <sz val="10"/>
        <color indexed="8"/>
        <rFont val="Calibri"/>
        <family val="2"/>
        <charset val="238"/>
      </rPr>
      <t>wydarzenia o zasięgu krajowym:</t>
    </r>
    <r>
      <rPr>
        <sz val="10"/>
        <color indexed="8"/>
        <rFont val="Calibri"/>
        <family val="2"/>
        <charset val="238"/>
      </rPr>
      <t xml:space="preserve"> Targi smaki Regionów w Poznaniu, Dożynki Prezydenckie w Spale, Wizyta Studyjna „Innowacyjne sposoby zagospodarowania i przetwarzania owoców, szansą na podniesienie konkurencyjności gospodarstwa rolnego” oraz ,,Gospodarstwa Opiekuńcze - jako alternatywna ścieżka rozwoju gospodarstw'' </t>
    </r>
    <r>
      <rPr>
        <b/>
        <sz val="10"/>
        <color indexed="8"/>
        <rFont val="Calibri"/>
        <family val="2"/>
        <charset val="238"/>
      </rPr>
      <t>2016</t>
    </r>
    <r>
      <rPr>
        <sz val="10"/>
        <color indexed="8"/>
        <rFont val="Calibri"/>
        <family val="2"/>
        <charset val="238"/>
      </rPr>
      <t xml:space="preserve"> </t>
    </r>
    <r>
      <rPr>
        <b/>
        <sz val="10"/>
        <color indexed="8"/>
        <rFont val="Calibri"/>
        <family val="2"/>
        <charset val="238"/>
      </rPr>
      <t>wydarzenia o zasięgu międzynarodowym:</t>
    </r>
    <r>
      <rPr>
        <sz val="10"/>
        <color indexed="8"/>
        <rFont val="Calibri"/>
        <family val="2"/>
        <charset val="238"/>
      </rPr>
      <t xml:space="preserve"> wykazano udział w targach Fruit Logistica - realizowany w ramach PO 2014-2015 - jednak targi odbyły się w 2016 (sfinansowanie powierzchni miało miejsce w 2015 roku);  VIII Międzynarodowe Targi Turystyki Wiejskiej i Agroturystyki Agrotravel - 2016;  KONGRES MŁODYCH ROLNIKÓW;  Międzynarodowe Targi Owoców i Warzyw Fruit Logistica 2016, Doroczne Forum Europejskiej Sieci Dziedzictwa,  wizyty studyjne do Hiszpanii, Norwegii i Francji, </t>
    </r>
    <r>
      <rPr>
        <b/>
        <sz val="10"/>
        <color indexed="8"/>
        <rFont val="Calibri"/>
        <family val="2"/>
        <charset val="238"/>
      </rPr>
      <t>wydarzenia o zasięgu krajowym</t>
    </r>
    <r>
      <rPr>
        <sz val="10"/>
        <color indexed="8"/>
        <rFont val="Calibri"/>
        <family val="2"/>
        <charset val="238"/>
      </rPr>
      <t xml:space="preserve">: Toruński Festiwal Smaku i Targi Wypoczynek; Targi Produktów Regionalnych i Ekologicznych REGIONALIA; Dzień Ziemi - 2016, Dożynki Prezydenckie w Spale, Targi Smaki Regionów w Poznaniu, XIV Warszawskie Święto Chleba, Dożynki Województwa Mazowieckiego, XVII Mazowieckie Dni Rolnictwa, Szkolenie pn. „Inkubator kuchenny i lokalne formy sprzedaży produktów lokalnych szansą na rozwój przedsiębiorczości wiejskiej”;  „Konie, łosie, kajaki i czosnowskie przysmaki”, wizyta studyjna "Realizacja Programów Aktywności Lokalnej w praktyce" oraz Poznajemy zwyczaje Podhala – wyjazd studyjny dla Kół Gospodyń Wiejskich z Gminy Krasnosielc </t>
    </r>
    <r>
      <rPr>
        <b/>
        <sz val="10"/>
        <color indexed="8"/>
        <rFont val="Calibri"/>
        <family val="2"/>
        <charset val="238"/>
      </rPr>
      <t>2017</t>
    </r>
    <r>
      <rPr>
        <sz val="10"/>
        <color indexed="8"/>
        <rFont val="Calibri"/>
        <family val="2"/>
        <charset val="238"/>
      </rPr>
      <t xml:space="preserve"> </t>
    </r>
    <r>
      <rPr>
        <b/>
        <sz val="10"/>
        <color indexed="8"/>
        <rFont val="Calibri"/>
        <family val="2"/>
        <charset val="238"/>
      </rPr>
      <t>Wydarzenia o zasięgu miedzynarodowym:</t>
    </r>
    <r>
      <rPr>
        <sz val="10"/>
        <color indexed="8"/>
        <rFont val="Calibri"/>
        <family val="2"/>
        <charset val="238"/>
      </rPr>
      <t xml:space="preserve"> IX Międzynarodowe Targi Turystyki Wiejskiej i Agroturystyki Agrotravel - 2017,  Międzynarodowe Targi Owoców i Warzyw Fruit Logistica 2017, operacja Innowacyjny hodowca, </t>
    </r>
    <r>
      <rPr>
        <b/>
        <sz val="10"/>
        <color indexed="8"/>
        <rFont val="Calibri"/>
        <family val="2"/>
        <charset val="238"/>
      </rPr>
      <t>wydarzenia o zasięgu krajowym</t>
    </r>
    <r>
      <rPr>
        <sz val="10"/>
        <color indexed="8"/>
        <rFont val="Calibri"/>
        <family val="2"/>
        <charset val="238"/>
      </rPr>
      <t xml:space="preserve"> - Dzień Ziemi - 2017, Targi Smaki Regionów w Poznaniu,  Centralne Targi Rolnicze w Nadarzynie, Dożynki  Prezydenckie w Spale 2017, XV Warszawskie Święto Chleba, Dożynki Województwa Mazowieckiego, Innowacyjna wieś - dobre praktyki przedsiębiorczości na obszarach wiejskich, Rozwój przedsiębiorczości z wykorzystaniem alternatywnych form działalności pozarolniczej, w ramach operacji Rozwój przedsiębiorczości z wykorzystaniem alternatywnych form działalności pozarolniczej partner KSOW uczestniczył w 5 imprezach plenerowych </t>
    </r>
  </si>
  <si>
    <r>
      <rPr>
        <b/>
        <sz val="10"/>
        <color indexed="8"/>
        <rFont val="Calibri"/>
        <family val="2"/>
        <charset val="238"/>
      </rPr>
      <t>2015: Wydarzenia o zasięgu międzynarodowym</t>
    </r>
    <r>
      <rPr>
        <sz val="10"/>
        <color indexed="8"/>
        <rFont val="Calibri"/>
        <family val="2"/>
        <charset val="238"/>
      </rPr>
      <t xml:space="preserve">: dwie wizyty studyjne do Słowenii i Wielkiej Brytanii (28 osób), </t>
    </r>
    <r>
      <rPr>
        <b/>
        <sz val="10"/>
        <color indexed="8"/>
        <rFont val="Calibri"/>
        <family val="2"/>
        <charset val="238"/>
      </rPr>
      <t>wydarzenia o zasięgu krajowym</t>
    </r>
    <r>
      <rPr>
        <sz val="10"/>
        <color indexed="8"/>
        <rFont val="Calibri"/>
        <family val="2"/>
        <charset val="238"/>
      </rPr>
      <t>: Targi smaki Regionów w Poznaniu (20 tys. osób), Dożynki Prezydenckie w Spale (40 tys. osób), wizyta studyjna „Innowacyjne sposoby zagospodarowania i przetwarzania owoców, szansą na podniesienie konkurencyjności gospodarstwa rolnego” (50 osób) oraz wizyta studyjna ,,Gospodarstwa Opiekuńcze - jako alternatywna ścieżka rozwoju gospodarstw''(40 osób).</t>
    </r>
    <r>
      <rPr>
        <b/>
        <sz val="10"/>
        <color indexed="8"/>
        <rFont val="Calibri"/>
        <family val="2"/>
        <charset val="238"/>
      </rPr>
      <t xml:space="preserve"> 2016: Wydarzenia o zasięgu międzynarodowym</t>
    </r>
    <r>
      <rPr>
        <sz val="10"/>
        <color indexed="8"/>
        <rFont val="Calibri"/>
        <family val="2"/>
        <charset val="238"/>
      </rPr>
      <t xml:space="preserve">: VIII Międzynarodowe Targi Turystyki Wiejskiej i Agroturystyki Agrotravel -2016 (20 tys. osób); KONGRES MŁODYCH ROLNIKÓW organizowany przez EUROPEA POLSKA (301 osób); Międzynarodowe Targi Owoców i Warzyw Fruit Logistica 20160 (70 tys. osób), Doroczne Forum Europejskiej Sieci Dziedzictwa (78 osób), wizyty studyjne do Hiszpanii i Norwegii (razem 25 osób) i Francji (20 osób), </t>
    </r>
    <r>
      <rPr>
        <b/>
        <sz val="10"/>
        <color indexed="8"/>
        <rFont val="Calibri"/>
        <family val="2"/>
        <charset val="238"/>
      </rPr>
      <t>wydarzenia o zasięgu krajowym:</t>
    </r>
    <r>
      <rPr>
        <sz val="10"/>
        <color indexed="8"/>
        <rFont val="Calibri"/>
        <family val="2"/>
        <charset val="238"/>
      </rPr>
      <t xml:space="preserve"> Toruński Festiwal Smaku i Targi Wypoczynek (5 tys. osób); Targi Produktów Regionalnych i Ekologicznych REGIONALIA  (6,5 tys. osób) ; Dzień Ziemi - 2016 (30 tys. osób), Dożynki Prezydenckie w Spale (40 tys. osób), Targi Smaki Regionów w Poznaniu (20 tys. osób), XIV Warszawskie Święto Chleba (2 tys. osób), Dożynki Województwa Mazowieckiego (20 tys. osób); szkolenie podczas XVII Mazowieckie Dni Rolnictwa (100 osób), Szkolenie pn. „Inkubator kuchenny i lokalne formy sprzedaży produktów lokalnych szansą na rozwój przedsiębiorczości wiejskiej” (32 osoby);  „Konie, łosie, kajaki i czosnowskie przysmaki” (50 osób), wizyta studyjna "Realizacja Programów Aktywności Lokalnej w praktyce" (16 osób) oraz Poznajemy zwyczaje Podhala – wyjazd studyjny dla Kół Gospodyń Wiejskich z Gminy Krasnosielc (50 osób).</t>
    </r>
    <r>
      <rPr>
        <b/>
        <sz val="10"/>
        <color indexed="8"/>
        <rFont val="Calibri"/>
        <family val="2"/>
        <charset val="238"/>
      </rPr>
      <t>2017: Wydarzenia o zasięgu międzynarodowym:</t>
    </r>
    <r>
      <rPr>
        <sz val="10"/>
        <color indexed="8"/>
        <rFont val="Calibri"/>
        <family val="2"/>
        <charset val="238"/>
      </rPr>
      <t xml:space="preserve"> IX Międzynarodowe Targi Turystyki Wiejskiej i Agroturystyki Agrotravel -2017 (20 tys. osób), Międzynarodowe Targi Owoców i Warzyw Fruit Logistica 2017 (70 tys. osób), operacja Innowacyjny hodowca (621 osób) </t>
    </r>
    <r>
      <rPr>
        <b/>
        <sz val="10"/>
        <color indexed="8"/>
        <rFont val="Calibri"/>
        <family val="2"/>
        <charset val="238"/>
      </rPr>
      <t>Wydarzenia o zasięgu krajowym</t>
    </r>
    <r>
      <rPr>
        <sz val="10"/>
        <color indexed="8"/>
        <rFont val="Calibri"/>
        <family val="2"/>
        <charset val="238"/>
      </rPr>
      <t xml:space="preserve"> - Dzień Ziemi 2017 (30 tys. osób), Targi Smaki Regionów w Poznaniu (20 tys. osób), Centralne Targi Rolnicze w Nadarzynie (40. tys. osób), Dożynki  Prezydenckie w Spale 2017 (40 tys. osób), XV Warszawskie Święto Chleba (5 tys. osób); Dożynki Województwa Mazowieckiego (20 tys. osób), Innowacyjna wieś - dobre praktyki przedsiębiorczości na obszarach wiejskich (75 osób), Rozwój przedsiębiorczości z wykorzystaniem alternatywnych form działalności pozarolniczej (w szkoleniu wzięło udziały udział 33 osoby), w ramach operacji Rozwój przedsiębiorczości z wykorzystaniem alternatywnych form działalności pozarolniczej partner KSOW uczestniczył w 5 imprezach plenerowych (10tys osób uczestniczyło ogółem w tych 5 imprezach).</t>
    </r>
  </si>
  <si>
    <r>
      <rPr>
        <b/>
        <sz val="10"/>
        <color theme="1"/>
        <rFont val="Calibri"/>
        <family val="2"/>
        <charset val="238"/>
        <scheme val="minor"/>
      </rPr>
      <t xml:space="preserve">2015 r. </t>
    </r>
    <r>
      <rPr>
        <sz val="10"/>
        <rFont val="Calibri"/>
        <family val="2"/>
        <charset val="238"/>
        <scheme val="minor"/>
      </rPr>
      <t>10 publikacji (dotyczy newslettera i stron w Kronice Mazowieckiej) realizowało mieszane zakresy tematyczne</t>
    </r>
    <r>
      <rPr>
        <b/>
        <sz val="10"/>
        <rFont val="Calibri"/>
        <family val="2"/>
        <charset val="238"/>
        <scheme val="minor"/>
      </rPr>
      <t xml:space="preserve">  </t>
    </r>
    <r>
      <rPr>
        <sz val="10"/>
        <rFont val="Calibri"/>
        <family val="2"/>
        <charset val="238"/>
        <scheme val="minor"/>
      </rPr>
      <t>(nie poruszano jedynie P1</t>
    </r>
    <r>
      <rPr>
        <b/>
        <sz val="10"/>
        <rFont val="Calibri"/>
        <family val="2"/>
        <charset val="238"/>
        <scheme val="minor"/>
      </rPr>
      <t xml:space="preserve">) </t>
    </r>
    <r>
      <rPr>
        <b/>
        <sz val="10"/>
        <color theme="1"/>
        <rFont val="Calibri"/>
        <family val="2"/>
        <charset val="238"/>
        <scheme val="minor"/>
      </rPr>
      <t>2016 r</t>
    </r>
    <r>
      <rPr>
        <sz val="10"/>
        <color theme="1"/>
        <rFont val="Calibri"/>
        <family val="2"/>
        <charset val="238"/>
        <scheme val="minor"/>
      </rPr>
      <t>: Dwie publikacje realizowały mieszane zakresy tematyczne w zakresie priorytetu II -Zwiększenie rentowności gospodarstw i konkurencyjność i priorytetu V - Promowanie  efektywnego gospodarowania zasobami i wspieranie przechodzenia w sektorach rolnym, spożywczym i leśnym na gospodarkę niskoemisyjną i odporną na zmianę klimatu; newsletter, strony w Kronice Mazowieckiej, 2 dodatki tematyczne w tygodnikach regionalnych realizowały mieszane zakresy tematyczne (nie poruszano jedynie P1).</t>
    </r>
    <r>
      <rPr>
        <b/>
        <sz val="10"/>
        <color theme="1"/>
        <rFont val="Calibri"/>
        <family val="2"/>
        <charset val="238"/>
        <scheme val="minor"/>
      </rPr>
      <t>2017 r</t>
    </r>
    <r>
      <rPr>
        <sz val="10"/>
        <color theme="1"/>
        <rFont val="Calibri"/>
        <family val="2"/>
        <charset val="238"/>
        <scheme val="minor"/>
      </rPr>
      <t xml:space="preserve">. wkładki tematyczne (4 wkładki po 4 strony - 16 stron), strony tematyczne w piśmie samorządu "Z serca Polski" oraz newsletter realizowały mieszane zakresy tematyczne (nie poruszano jedynie P1). Trzy publikacje (mapa i artykuł i broszura "Ewidencja przychodów i rozchodów w gospodarstwie" oraz 2 ulotki realizowały zakres tematyczny z naciskiem na włączenie społeczne. 1 ulotka realizowała zakres tematyczny z naciskiem na żywotność i konkurencyjność gospodarstw rolnych, łańcuch żywnościowy
</t>
    </r>
  </si>
  <si>
    <r>
      <rPr>
        <b/>
        <sz val="10"/>
        <color indexed="8"/>
        <rFont val="Calibri"/>
        <family val="2"/>
        <charset val="238"/>
      </rPr>
      <t>2016</t>
    </r>
    <r>
      <rPr>
        <sz val="10"/>
        <color indexed="8"/>
        <rFont val="Calibri"/>
        <family val="2"/>
        <charset val="238"/>
      </rPr>
      <t xml:space="preserve">: mieszane: dotyczy Kampanii Wieści z Mazowsza </t>
    </r>
    <r>
      <rPr>
        <b/>
        <sz val="10"/>
        <color indexed="8"/>
        <rFont val="Calibri"/>
        <family val="2"/>
        <charset val="238"/>
      </rPr>
      <t>2017</t>
    </r>
    <r>
      <rPr>
        <sz val="10"/>
        <color indexed="8"/>
        <rFont val="Calibri"/>
        <family val="2"/>
        <charset val="238"/>
      </rPr>
      <t xml:space="preserve">: Przeprowadzono 13 konkursów z łączną liczbą kategorii konkursowych 16. Inne narzędzia komunikacji Spotkania w punktach informacyjnych - zakres merytoryczny przekazywanych informacji: PROW 2014-2020 na Mazowszu; w IV kwartale 2017 roku przeprowadziliśmy akcję informacyjno-promocyjną, podczas której w punkcie informacyjnym podczas bezpośrednich konsultacji osoby odwiedzające otrzymały m.in: kalendarze na 2018 rok (1095 szt.). W IV kwartale 2017 r. przeprowadzono Kompleksowy projekt Pociągiem do natury - koleją do kultury, który składał się z kalendarzy (500 szt.), spotu reklamowego i 2 artykułów w prasie </t>
    </r>
  </si>
  <si>
    <t>2015, 2016  i 2017 Dotyczy Wojewódzkiej Grupy Roboczej. W 2015 r. spotkanie stacjonarne dotyczyło zaopiniowania Planu Operacyjnego na lata 2014-2015. W 2016 r. odbyło się jedno spotkanie stacjonarne i sześć obiegowych.W 2017 r odbyły się trzy spotkania stacjonarne WGR i 2 obiegowe.</t>
  </si>
  <si>
    <t>2015, 2016 oraz 2017 r. dotyczy udziału członków Wojewódzkiej Grupy Roboczej w spotkaniach stacjonarnych i obiegowych. W 2016 r odbyło się jedno spotkanie stacjonarne (9 osób) oraz 6 obiegowych (47 osób). W 2017 r odbyły się trzy spotkania stacjonarne z czego w pierwszym uczestniczyło 9 osób, w drugim 7, a w trzecim 8 osób. W swóch spotkaniach obiegowych uczestniczyło: w pierwszym 10, a w drugim 8</t>
  </si>
  <si>
    <r>
      <rPr>
        <b/>
        <sz val="10"/>
        <color theme="1"/>
        <rFont val="Calibri"/>
        <family val="2"/>
        <charset val="238"/>
        <scheme val="minor"/>
      </rPr>
      <t>2015 r.</t>
    </r>
    <r>
      <rPr>
        <sz val="10"/>
        <color theme="1"/>
        <rFont val="Calibri"/>
        <family val="2"/>
        <scheme val="minor"/>
      </rPr>
      <t xml:space="preserve"> Rodzaj działania szkoleniowego inne: 2 seminaria dot. Przedsiębiorczości kobiet </t>
    </r>
    <r>
      <rPr>
        <b/>
        <sz val="10"/>
        <color theme="1"/>
        <rFont val="Calibri"/>
        <family val="2"/>
        <charset val="238"/>
        <scheme val="minor"/>
      </rPr>
      <t>2016 r</t>
    </r>
    <r>
      <rPr>
        <sz val="10"/>
        <color theme="1"/>
        <rFont val="Calibri"/>
        <family val="2"/>
        <charset val="238"/>
        <scheme val="minor"/>
      </rPr>
      <t xml:space="preserve">: Rodzaj działania szkoleniowego inne: X Mazowiecki Kongres Rozwoju Obszarów Wiejskich był połączeniem konferencji z wizytą studyjną. Zakres tematyczny - tematy mieszane dot. XVII Mazowieckich Dni Rolnictwa (P2,P5) </t>
    </r>
    <r>
      <rPr>
        <b/>
        <sz val="10"/>
        <color theme="1"/>
        <rFont val="Calibri"/>
        <family val="2"/>
        <charset val="238"/>
        <scheme val="minor"/>
      </rPr>
      <t xml:space="preserve">2017: </t>
    </r>
    <r>
      <rPr>
        <sz val="10"/>
        <color theme="1"/>
        <rFont val="Calibri"/>
        <family val="2"/>
        <charset val="238"/>
        <scheme val="minor"/>
      </rPr>
      <t xml:space="preserve">Rodzaj działania szkoleniowego inne: XI Mazowiecki Kongres Rozwoju Obszarów Wiejskich był połączeniem konferencji z wizytą studyjną oraz Innowacyjna wieś - dobre praktyki przedsiębiorczości na obszarach wiejskich - 3 szkolenia połączone z wizytą studyjną; tematy mieszane włączenie społeczne/Leader: XI Mazowiecki Kongres Rozwoju Obszarów Wiejskich oraz Wizyta studyjna promująca dobre praktyki </t>
    </r>
  </si>
  <si>
    <r>
      <rPr>
        <b/>
        <sz val="10"/>
        <color indexed="8"/>
        <rFont val="Calibri"/>
        <family val="2"/>
        <charset val="238"/>
      </rPr>
      <t xml:space="preserve">2015 r. </t>
    </r>
    <r>
      <rPr>
        <sz val="10"/>
        <color indexed="8"/>
        <rFont val="Calibri"/>
        <family val="2"/>
        <charset val="238"/>
      </rPr>
      <t xml:space="preserve">Liczba uczestników innych działań szkoleniowych - dotyczy uczestników dwóch seminariów. Inne grupy interesariuszy: rolnicy, uczniowie szkół, pracownicy samorządowi, lokalni przetwórcy żywności, pracownicy spółdzielni socjalnych, przedsiębiorcy </t>
    </r>
    <r>
      <rPr>
        <b/>
        <sz val="10"/>
        <color indexed="8"/>
        <rFont val="Calibri"/>
        <family val="2"/>
        <charset val="238"/>
      </rPr>
      <t xml:space="preserve">2016 r. </t>
    </r>
    <r>
      <rPr>
        <sz val="10"/>
        <color indexed="8"/>
        <rFont val="Calibri"/>
        <family val="2"/>
        <charset val="238"/>
      </rPr>
      <t>Liczba uczestników innych działań szkoleniowych - dotyczy uczestników X Mazowieckiego Kongresu Rozwoju Obszarów Wiejskich (kongres połączony z wizytą studyjną). Inne grupy interesariuszy: rolnicy, uczniowie szkół, pracownicy samorządowi, lokalni przetwórcy żywności, pracownicy spółdzielni socjalnych, przedsiębiorcy , przedstawiciele branży turystycznej, przedstawiciele organizacji pozarządowych, przedstawicielki kół gospodyń wiejskich, mieszkańcy obszarów wiejskich, koła pszczelarskie</t>
    </r>
    <r>
      <rPr>
        <b/>
        <sz val="10"/>
        <color indexed="8"/>
        <rFont val="Calibri"/>
        <family val="2"/>
        <charset val="238"/>
      </rPr>
      <t xml:space="preserve"> 2017 r</t>
    </r>
    <r>
      <rPr>
        <sz val="10"/>
        <color indexed="8"/>
        <rFont val="Calibri"/>
        <family val="2"/>
        <charset val="238"/>
      </rPr>
      <t>. Inne grupy interesariuszy: pracownicy samorządowi, rolnicy, lokalni przetwórcy żywności, przedsiębiorcy, przedstawiciele KGW, właściciele gospodarstw agroturystycznych, pszczelarze, mieszkańcy obszarów wiejskich</t>
    </r>
  </si>
  <si>
    <t>Koszty funkcjonowania 2015 r. (II półrocze): wynagrodzenia dla pracowników KSOW, koszty szkoleń, sprzętu oraz najmu i eksploatacji pomieszczeń. Koszty funkcjonowania 2016 r.(od 1.01 do 31.12.2016): koszty wynagrodzeń dla pracowników KSOW, koszty szkoleń, sprzętu oraz  najmu i eksploatacji pomieszczeń KSOWKoszty funkcjonowania 2017 r. (od 1.01 do 31.12.2017):koszty wynagrodzeń dla pracowników KSOW, koszty szkoleń, najmu i eksploatacji pomieszczeń KSOW oraz zakupu sprzętu</t>
  </si>
  <si>
    <t>Jednostka Regionalna KSOW woj. opolskiego</t>
  </si>
  <si>
    <t xml:space="preserve"> </t>
  </si>
  <si>
    <r>
      <rPr>
        <b/>
        <sz val="10"/>
        <color indexed="8"/>
        <rFont val="Calibri"/>
        <family val="2"/>
        <charset val="238"/>
      </rPr>
      <t xml:space="preserve">2015:                                                                                                                                                                                                                                                                                                                                                  </t>
    </r>
    <r>
      <rPr>
        <sz val="10"/>
        <color indexed="8"/>
        <rFont val="Calibri"/>
        <family val="2"/>
        <charset val="238"/>
      </rPr>
      <t xml:space="preserve">            </t>
    </r>
    <r>
      <rPr>
        <b/>
        <sz val="10"/>
        <color indexed="8"/>
        <rFont val="Calibri"/>
        <family val="2"/>
        <charset val="238"/>
      </rPr>
      <t xml:space="preserve">                                                                                                                                                                                                                                                                                 Wydarzenia o zasięgu międzynarodowym:                                                                                                                                                                                                                                                                                                        </t>
    </r>
    <r>
      <rPr>
        <sz val="10"/>
        <color indexed="8"/>
        <rFont val="Calibri"/>
        <family val="2"/>
        <charset val="238"/>
      </rPr>
      <t xml:space="preserve">1. Międzynarodowe Targi Bazaar Berlin 2015                                                                                                                                                                                                                                                                                             2. Międzynarodowe Targi Tour Salon w Poznaniu                                                                                                                                                                                                                                                                                        3. Organizacja seminarium naukowego pt. "Problemy zarządzania kryzysowego w obliczu zmian zagospodarowania przestrzennego obszarów Wiejskich"                                                                                                                                                                                                                                                                                                                                                              </t>
    </r>
    <r>
      <rPr>
        <b/>
        <sz val="10"/>
        <color indexed="8"/>
        <rFont val="Calibri"/>
        <family val="2"/>
        <charset val="238"/>
      </rPr>
      <t xml:space="preserve">Zakres tematyczny - Inne:                                                                                                                                                                                                                                                                                                                                                                        </t>
    </r>
    <r>
      <rPr>
        <sz val="10"/>
        <color indexed="8"/>
        <rFont val="Calibri"/>
        <family val="2"/>
        <charset val="238"/>
      </rPr>
      <t xml:space="preserve">4 operacje z naciskiem na turystykę wiejską, agroturystykę, dziedzictwo kulturowe, w tym kulinarne; 1 operacja dotycząca budowy i modernizacji dróg lokalnych                                                                                                                                                                      </t>
    </r>
    <r>
      <rPr>
        <b/>
        <sz val="10"/>
        <color indexed="8"/>
        <rFont val="Calibri"/>
        <family val="2"/>
        <charset val="238"/>
      </rPr>
      <t xml:space="preserve">                                                                                                                                                                                                                                     2016:                                                                                                                                                                                                                                                                                                                                                  Wydarzenia o zasięgu krajowym</t>
    </r>
    <r>
      <rPr>
        <sz val="10"/>
        <color indexed="8"/>
        <rFont val="Calibri"/>
        <family val="2"/>
        <charset val="238"/>
      </rPr>
      <t xml:space="preserve">:                                                                                                                                                                                                                                                                                                                                1. XV Spotkanie organizacji działających na obszarach wiejskich w Marózie                                                                                                                                                                                                                                                               2. Konferencja poświęcona podejściu LEADER                                                                                                                                                                                                                                                                                                  3. Dożynki Prezydenckie w Spale                                                                                                                                                                                                                                                                                                                </t>
    </r>
    <r>
      <rPr>
        <b/>
        <sz val="10"/>
        <color indexed="8"/>
        <rFont val="Calibri"/>
        <family val="2"/>
        <charset val="238"/>
      </rPr>
      <t>Wydarzenia o zasięgu międzynarodowym</t>
    </r>
    <r>
      <rPr>
        <sz val="10"/>
        <color indexed="8"/>
        <rFont val="Calibri"/>
        <family val="2"/>
        <charset val="238"/>
      </rPr>
      <t xml:space="preserve">:                                                                                                                                                                                                                                                                                                       1. Międzynarodowe Targi Turystyczne ITB Berlin 2016                                                                                                                                                                                                                                                                            2. Wystawa Twórców Ludowych i Rzemiosła Artystycznego Pogranicza Polsko-Czeskiego w Prudniku                                                                                                                                 3. Targi Turystyki Weekendowej "Atrakcje Regionów" w Chorzowie                                                                                                                                                                                                                                                         4. Międzynarodowe Targi Turystyki Wiejskiej i Agroturystyki AGROTRAVEL w Kielcach - stoisko wystawiennicze                                                                                                     5. Międzynarodowe Targi Turystyki Wiejskiej i Agroturystyki AGROTRAVEL w Kielcach - udział w konferencji                                                                                                                                                6. Międzynarodowe Targi "Rheinland-Pfalz Ausstellung" w Moguncji                                                                                                                                                                                                                                              7. Święto Konstytucji Nadrenii-Palatynatu w Moguncji                                                                                                                                                                                                                                                                        8. Festyn Przyjaźni Polsko-Niemieckiej w Moguncji                                                                                                                                                                                                                                                                   9. Doroczne Forum Europejskiej Sieci Regionalnego Dziedzictwa Kulinarnego w Oslo                                                                                                                                                                                                      10. Finał konkursu o Europejską Nagrodę Odnowy Wsi - Węgry                                                                                                                                                                                                                                                    11. XVI Międzynarodowe Targi Turystyczne "W stronę słońca" w Opolu                                                                                                                                                                                                                    12. Wystawa Rolnicza OPOLAGRA 2016                                                                                                                                                                                                                                                                                                                             </t>
    </r>
    <r>
      <rPr>
        <b/>
        <sz val="10"/>
        <color indexed="8"/>
        <rFont val="Calibri"/>
        <family val="2"/>
        <charset val="238"/>
      </rPr>
      <t>Zakres tematyczny - Inne:</t>
    </r>
    <r>
      <rPr>
        <sz val="10"/>
        <color indexed="8"/>
        <rFont val="Calibri"/>
        <family val="2"/>
        <charset val="238"/>
      </rPr>
      <t xml:space="preserve">                                                                                                                                                                                                                                                                                                                                           1. Spotkania informacyjno-konsultacyjne dot. scalania gruntów, gospodarki wodno-kanalizacyjnej oraz spotkanie w sprawie podpisania umów na drogi lokalne                                                                                                                                                                                                                                                                                                                                                                                      </t>
    </r>
    <r>
      <rPr>
        <b/>
        <sz val="10"/>
        <color indexed="8"/>
        <rFont val="Calibri"/>
        <family val="2"/>
        <charset val="238"/>
      </rPr>
      <t xml:space="preserve">2017:                                                                                                                                                                                                                                                                                                                                                                                                                                                                                                                                                                                                                                                                 Wydarzenia o zasięgu międzynarodowym:            </t>
    </r>
    <r>
      <rPr>
        <sz val="10"/>
        <color indexed="8"/>
        <rFont val="Calibri"/>
        <family val="2"/>
        <charset val="238"/>
      </rPr>
      <t xml:space="preserve">                                                                                                                                                                                                                                                                                           1. Międzynarodowe Targi Turystyki Wiejskiej i Agroturystyki AGROTRAVEL w Kielcach - udział w bloku konferencjno-warsztatowym                                                                                                                                                2. Międzynarodowe Targi "Rheinland-Pfalz Ausstellung" w Moguncji                                                                                                                                                                                                                                              3. Dni Regionów Partnerskich w Dijon (Francja)                                                                                                                                                                                                                                                                       4. Wystawa Rolnicza OPOLAGRA 2017                                                                                                                                                                                                                                                                                                                     5. Doroczne Forum Europejskiej Sieci Regionalnego Dziedzictwa Kulinarnego                                                                                                                                                                                                          6. Dni Jedności Niemiec w Moguncji                                                                                                                                                                                                                                                                                                                7.  Targi Smaki Regionów w ramach Międzynarodowych Targów Polagra Food w Poznaniu                                                                                                                                                                               </t>
    </r>
    <r>
      <rPr>
        <b/>
        <sz val="10"/>
        <color indexed="8"/>
        <rFont val="Calibri"/>
        <family val="2"/>
        <charset val="238"/>
      </rPr>
      <t xml:space="preserve">Wydarzenia o zasięgu krajowym:     </t>
    </r>
    <r>
      <rPr>
        <sz val="10"/>
        <color indexed="8"/>
        <rFont val="Calibri"/>
        <family val="2"/>
        <charset val="238"/>
      </rPr>
      <t xml:space="preserve">                                                                                                                                                                                                                                                                                                                     1. Dożynki Prezydenckie w Spale                                                                                                                                                                                                                                                                                               </t>
    </r>
    <r>
      <rPr>
        <b/>
        <sz val="10"/>
        <color indexed="8"/>
        <rFont val="Calibri"/>
        <family val="2"/>
        <charset val="238"/>
      </rPr>
      <t xml:space="preserve">Zakres tematyczny - Inne:           </t>
    </r>
    <r>
      <rPr>
        <sz val="10"/>
        <color indexed="8"/>
        <rFont val="Calibri"/>
        <family val="2"/>
        <charset val="238"/>
      </rPr>
      <t xml:space="preserve">                                                                                                                                                                                                                                                                                                                                1. 2 spotkania informacyjno-konsultacyjne dot. scalania gruntów oraz omówienia dokumentów aplikacyjnych - targowiska</t>
    </r>
  </si>
  <si>
    <r>
      <rPr>
        <b/>
        <sz val="10"/>
        <color indexed="8"/>
        <rFont val="Calibri"/>
        <family val="2"/>
        <charset val="238"/>
      </rPr>
      <t xml:space="preserve">2015:                                                                                                                                                                                                                                                                                                                                                                                                                                                                                                                                                                                                                                               Wydarzenia o zasięgu międzynarodowym:                                                                                                                                                                                                                                                                                                        </t>
    </r>
    <r>
      <rPr>
        <sz val="10"/>
        <color indexed="8"/>
        <rFont val="Calibri"/>
        <family val="2"/>
        <charset val="238"/>
      </rPr>
      <t xml:space="preserve">1. Międzynarodowe Targi Bazaar Berlin 2015 -  40 000 osób                                                                                                                                                                                                                                                                                            2. Międzynarodowe Targi Tour Salon w Poznaniu - 11 000 osób                                                                                                                                                                                                                                                                                        3. Organizacja seminarium naukowego pt. "Problemy zarządzania kryzysowego w obliczu zmian zagospodarowania przestrzennego obszarów Wiejskich" -  51 osób                                                                                                                                                                                                                                                                                                                                                                                         </t>
    </r>
    <r>
      <rPr>
        <b/>
        <sz val="10"/>
        <color indexed="8"/>
        <rFont val="Calibri"/>
        <family val="2"/>
        <charset val="238"/>
      </rPr>
      <t>2016:                                                                                                                                                                                                                                                                                                                                                       Wydarzenia o zasięgu krajowym</t>
    </r>
    <r>
      <rPr>
        <sz val="10"/>
        <color indexed="8"/>
        <rFont val="Calibri"/>
        <family val="2"/>
        <charset val="238"/>
      </rPr>
      <t xml:space="preserve">:                                                                                                                                                                                                                                                                                                                                1. XV Spotkanie organizacji działających na obszarach wiejskich w Marózie - 500 osób                                                                                                                                                                                                                                                               2. Konferencja poświęcona podejściu LEADER - 350 osób                                                                                                                                                                                                                                                                                                  3. Dożynki Prezydenckie w Spale - 4 000 osób                                                                                                                                                                                                                                                                                                                </t>
    </r>
    <r>
      <rPr>
        <b/>
        <sz val="10"/>
        <color indexed="8"/>
        <rFont val="Calibri"/>
        <family val="2"/>
        <charset val="238"/>
      </rPr>
      <t>Wydarzenia o zasięgu międzynarodowym</t>
    </r>
    <r>
      <rPr>
        <sz val="10"/>
        <color indexed="8"/>
        <rFont val="Calibri"/>
        <family val="2"/>
        <charset val="238"/>
      </rPr>
      <t xml:space="preserve">:                                                                                                                                                                                                                                                                                                                 1. Międzynarodowe Targi Turystyczne ITB Berlin 2016 - 120 000 osób                                                                                                                                                                                                                            2. Wystawa Twórców Ludowych i Rzemiosła Artystycznego Pogranicza Polsko-Czeskiego w Prudniku - 10 000 osób                                                                                                                                 3. Targi Turystyki Weekendowej "Atrakcje Regionów" w Chorzowie - 25 000 osób                                                                                                                                                                                                                                                         4. Międzynarodowe Targi Turystyki Wiejskiej i Agroturystyki AGROTRAVEL w Kielcach - stoisko wystawiennicze - 20 000 osób                                                                                                     5. Międzynarodowe Targi Turystyki Wiejskiej i Agroturystyki AGROTRAVEL w Kielcach - udział w konferencji - 600 osób                                                                                                                                               6. Międzynarodowe Targi "Rheinland-Pfalz Ausstellung" w Moguncji - 70 000 osób                                                                                                                                                                                                                                              7. Święto Konstytucji Nadrenii-Palatynatu w Moguncji - 40 000 osób                                                                                                                                                                                                                                                                       8. Festyn Przyjaźni Polsko-Niemieckiej w Moguncji - 10 000 osób                                                                                                                                                                                                                                                                   9. Doroczne Forum Europejskiej Sieci Regionalnego Dziedzictwa Kulinarnego w Oslo - 400 osób                                                                                                                                                                                                      10. Finał konkursu o Europejską Nagrodę Odnowy Wsi - Węgry - 1 500 osób                                                                                                                                                                                                                                                    11. XVI Międzynarodowe Targi Turystyczne "W stronę słońca" w Opolu - 20 000 osób                                                                                                                                                                                                                    12. Wystawa Rolnicza OPOLAGRA 2016 - 48 000 osób                                                                                                                                                                                                                                                                            </t>
    </r>
    <r>
      <rPr>
        <b/>
        <sz val="10"/>
        <color indexed="8"/>
        <rFont val="Calibri"/>
        <family val="2"/>
        <charset val="238"/>
      </rPr>
      <t xml:space="preserve">2017:                                                                                                                                                                                                                                                                                                                                                                                                                                                                                                                                                                                                                                                                 Wydarzenia o zasięgu międzynarodowym:           </t>
    </r>
    <r>
      <rPr>
        <sz val="10"/>
        <color indexed="8"/>
        <rFont val="Calibri"/>
        <family val="2"/>
        <charset val="238"/>
      </rPr>
      <t xml:space="preserve">                                                                                                                                                                                                                                                                                            1. Międzynarodowe Targi Turystyki Wiejskiej i Agroturystyki AGROTRAVEL w Kielcach - udział w bloku konferencjno-warsztatowym  - 800 osób                                                                                                                                              2. Międzynarodowe Targi "Rheinland-Pfalz Ausstellung" w Moguncji  - 70 000 osób                                                                                                                                                                                                                                             3. Dni Regionów Partnerskich w Dijon (Francja)  - 5 000 osób                                                                                                                                                                                                                                                                      4. Wystawa Rolnicza OPOLAGRA 2017 - 45 000 osób                                                                                                                                                                                                                                                                   5. Doroczne Forum Europejskiej Sieci Regionalnego Dziedzictwa Kulinarnego - 55 osób                                                                                                                                                                                                         6. Dni Jedności Niemiec w Moguncji  - 30 000  - osób                                                                                                                                                                                                                                                                                                            7.  Targi Smaki Regionów w ramach Międzynarodowych Targów Polagra Food w Poznaniu - 35 000 osób                                                                                                                                                                              </t>
    </r>
    <r>
      <rPr>
        <b/>
        <sz val="10"/>
        <color indexed="8"/>
        <rFont val="Calibri"/>
        <family val="2"/>
        <charset val="238"/>
      </rPr>
      <t xml:space="preserve">Wydarzenia o zasięgu krajowym: </t>
    </r>
    <r>
      <rPr>
        <sz val="10"/>
        <color indexed="8"/>
        <rFont val="Calibri"/>
        <family val="2"/>
        <charset val="238"/>
      </rPr>
      <t xml:space="preserve">                                                                                                                                                                                                                                                                                                                         1. Dożynki Prezydenckie w Spale - 4 000 osób                                                                                                                                                                                                                                                                                                                                      </t>
    </r>
  </si>
  <si>
    <t>dotyczy strony www.ksow.pl - zakładka woj. opolskiego, statystyki zgodne z Google Analitics</t>
  </si>
  <si>
    <t>nie dotyczy</t>
  </si>
  <si>
    <t xml:space="preserve">2015-2017 - dotyczy 1 grupy tematycznej - WGR ds. KSOW woj. opolskiego. W 2015r. odbyło się 1 posiedzenie.  W 2016r. odbyły się 2 posiedzenia oraz Grupa pracowała w trybie obiegowym 7 razy. Natomiast w 2017r. nie odbyło się żadne posiedzenie WGR ds. KSOW. Grupa pracowała w trybie obiegowym 9 razy.   </t>
  </si>
  <si>
    <t xml:space="preserve">W 2016r. zorgaznizowano 1 spotkanie informacyjno-konsultacyjne  dla Partnerów KSOW w sprawie realizacji projektów w ramach Planu operacyjnego KSOW na lata 2016-2017 w zakresie roku 2016. Natomiast w 2017r. Zorganizowano 3 spotkania dla Partnerów KSOW, w tym 2  w sprawie realizacji projektów w ramach Planu operacyjnego KSOW na lata 2016-2017 w zakresie roku 2017r. i 2018r. oraz 1 w sprawie ogłoszonego Konkursu nr 1/2017 dla partnerów Krajowej Sieci Obszarów Wiejskich na wybór operacji, które były realizowane w 2017 r. w ramach dwuletniego planu operacyjnego na lata 2016–2017 </t>
  </si>
  <si>
    <r>
      <rPr>
        <b/>
        <sz val="10"/>
        <color indexed="8"/>
        <rFont val="Calibri"/>
        <family val="2"/>
        <charset val="238"/>
      </rPr>
      <t>2015r.</t>
    </r>
    <r>
      <rPr>
        <sz val="10"/>
        <color indexed="8"/>
        <rFont val="Calibri"/>
        <family val="2"/>
        <charset val="238"/>
      </rPr>
      <t xml:space="preserve"> - liczba osób wchodzących w skład WGR ds. KSOW woj. opolskiego - 23 osoby, w posiedzeniu uczestniczyły 33 osoby, głosowało na dwoma uchwałami każdorazowo po 20 osób, a w trybie obiegowym głosowało łącznie 12 członków                                                         .                                                                                                                                                                                                                                       </t>
    </r>
    <r>
      <rPr>
        <b/>
        <sz val="10"/>
        <color indexed="8"/>
        <rFont val="Calibri"/>
        <family val="2"/>
        <charset val="238"/>
      </rPr>
      <t xml:space="preserve">2016r. </t>
    </r>
    <r>
      <rPr>
        <sz val="10"/>
        <color indexed="8"/>
        <rFont val="Calibri"/>
        <family val="2"/>
        <charset val="238"/>
      </rPr>
      <t xml:space="preserve">-  liczba osób wchodzących w skład WGR ds. KSOW woj. opolskiego - 23 osoby, w posiedzeniach udział wzięły 23 osoby, a w trybie obiegowym głowowało łącznie 114 osób.         </t>
    </r>
    <r>
      <rPr>
        <b/>
        <sz val="10"/>
        <color indexed="8"/>
        <rFont val="Calibri"/>
        <family val="2"/>
        <charset val="238"/>
      </rPr>
      <t xml:space="preserve">                                                                                                                                                                                                                                                                                                 2017r. - </t>
    </r>
    <r>
      <rPr>
        <sz val="10"/>
        <color indexed="8"/>
        <rFont val="Calibri"/>
        <family val="2"/>
        <charset val="238"/>
      </rPr>
      <t xml:space="preserve"> liczba osób wchodzących w skład WGR ds. KSOW woj. opolskiego - 23 osoby, w trybie obiegowym głowowało łącznie 135 osób                                                 W spotkaniach informacyjno-konsultacyjnych dla Partnerów KSOW uczestniczyło: </t>
    </r>
    <r>
      <rPr>
        <b/>
        <sz val="10"/>
        <color indexed="8"/>
        <rFont val="Calibri"/>
        <family val="2"/>
        <charset val="238"/>
      </rPr>
      <t xml:space="preserve">w 2016r. </t>
    </r>
    <r>
      <rPr>
        <sz val="10"/>
        <color indexed="8"/>
        <rFont val="Calibri"/>
        <family val="2"/>
        <charset val="238"/>
      </rPr>
      <t xml:space="preserve">- 21 osób, </t>
    </r>
    <r>
      <rPr>
        <b/>
        <sz val="10"/>
        <color indexed="8"/>
        <rFont val="Calibri"/>
        <family val="2"/>
        <charset val="238"/>
      </rPr>
      <t>w 2017r</t>
    </r>
    <r>
      <rPr>
        <sz val="10"/>
        <color indexed="8"/>
        <rFont val="Calibri"/>
        <family val="2"/>
        <charset val="238"/>
      </rPr>
      <t xml:space="preserve">. - 81 osób.   </t>
    </r>
  </si>
  <si>
    <r>
      <rPr>
        <b/>
        <sz val="10"/>
        <color theme="1"/>
        <rFont val="Calibri"/>
        <family val="2"/>
        <charset val="238"/>
        <scheme val="minor"/>
      </rPr>
      <t xml:space="preserve">2015 -2017: </t>
    </r>
    <r>
      <rPr>
        <sz val="10"/>
        <color theme="1"/>
        <rFont val="Calibri"/>
        <family val="2"/>
        <charset val="238"/>
        <scheme val="minor"/>
      </rPr>
      <t xml:space="preserve">                                                                                                                                                                                                                                                                                                                                                                                                        </t>
    </r>
    <r>
      <rPr>
        <u/>
        <sz val="10"/>
        <color theme="1"/>
        <rFont val="Calibri"/>
        <family val="2"/>
        <charset val="238"/>
        <scheme val="minor"/>
      </rPr>
      <t xml:space="preserve">     </t>
    </r>
    <r>
      <rPr>
        <sz val="10"/>
        <color theme="1"/>
        <rFont val="Calibri"/>
        <family val="2"/>
        <charset val="238"/>
        <scheme val="minor"/>
      </rPr>
      <t xml:space="preserve">                                      Wykazano szkolenia realizowane w ramach planów operacyjnych oraz ze struktury KSOW    </t>
    </r>
    <r>
      <rPr>
        <b/>
        <sz val="10"/>
        <color theme="1"/>
        <rFont val="Calibri"/>
        <family val="2"/>
        <charset val="238"/>
        <scheme val="minor"/>
      </rPr>
      <t xml:space="preserve">                                                                                                                                                                                                       Zakres tematyczny - Inne:                                                                                                                                                                                                                                                                                                                   2015:                                                                                                                                                                                                                                                                                                                                                                               </t>
    </r>
    <r>
      <rPr>
        <sz val="10"/>
        <color theme="1"/>
        <rFont val="Calibri"/>
        <family val="2"/>
        <charset val="238"/>
        <scheme val="minor"/>
      </rPr>
      <t xml:space="preserve">1. Szkolenie z zakresu zamówień publicznych                                                                                                                                                                                                                                                                                        2. Szkolenie z obsługi programu CORELDRAW                                                                                                                                                                                                                                                                                    3. Szkolenie dla beneficjentów PT PROW 2014-2020        </t>
    </r>
    <r>
      <rPr>
        <sz val="10"/>
        <color theme="1"/>
        <rFont val="Calibri"/>
        <family val="2"/>
        <scheme val="minor"/>
      </rPr>
      <t xml:space="preserve">                                                                                                                                                                                                                                                                </t>
    </r>
    <r>
      <rPr>
        <b/>
        <sz val="10"/>
        <color theme="1"/>
        <rFont val="Calibri"/>
        <family val="2"/>
        <charset val="238"/>
        <scheme val="minor"/>
      </rPr>
      <t>2016:</t>
    </r>
    <r>
      <rPr>
        <sz val="10"/>
        <color theme="1"/>
        <rFont val="Calibri"/>
        <family val="2"/>
        <scheme val="minor"/>
      </rPr>
      <t xml:space="preserve">                                                                                                                                                                                                                                                                                                                                                                                              1. Szkolenie z Excel                                                                                                                                                                                                                                                                                                                                                2. Szkolenie z zakresu zamówień publicznych (nowelizacja ustawy)                                                                                                                                                                                                            3. Szkolenie na temat informowania o PROW 2014-2020                                                                                                                                                                                                                               4. Szkolenie dla beneficjentów PT PROW 2014-2020                                                                                                                                                                                                                                                                                  5. Szkolenie z generatora wniosków w ramach PT PROW 2014-2020                                                                                                                                                                                                                                                </t>
    </r>
    <r>
      <rPr>
        <b/>
        <sz val="10"/>
        <color theme="1"/>
        <rFont val="Calibri"/>
        <family val="2"/>
        <charset val="238"/>
        <scheme val="minor"/>
      </rPr>
      <t xml:space="preserve">2017:          </t>
    </r>
    <r>
      <rPr>
        <sz val="10"/>
        <color theme="1"/>
        <rFont val="Calibri"/>
        <family val="2"/>
        <scheme val="minor"/>
      </rPr>
      <t xml:space="preserve">                                                                                                                                                                                                                                                                                                                                               1. Szkolenie dla JR KSOW, CDR i ODR – nabór projektów w 2017r. i zmiana PO KSOW 2016-2017                                                                                                                                             2. Szkolenie „Copywriting &amp; Content Marketing w promocji Funduszy Unijnych”                                                                                                                                                                                              3. Szkolenie z zakresu obsługi Portalu Ogłoszeń ARiMR                                                                                                                                                                                                                                                            4. Szkolenie w zakresie ustawy Prawo Zamówień Publicznych </t>
    </r>
  </si>
  <si>
    <r>
      <rPr>
        <b/>
        <sz val="10"/>
        <color indexed="8"/>
        <rFont val="Calibri"/>
        <family val="2"/>
        <charset val="238"/>
      </rPr>
      <t xml:space="preserve">2015:                                                                                                                                                                                                                                                                                                                                                                                   </t>
    </r>
    <r>
      <rPr>
        <sz val="10"/>
        <color indexed="8"/>
        <rFont val="Calibri"/>
        <family val="2"/>
        <charset val="238"/>
      </rPr>
      <t xml:space="preserve">Uczestnikami szkoleń / warsztatów i wyjazdów studyjnych byli mieszkańcy Gminy Bierawa, w tym dzieci i młodzież szkolna, osoby odpowiedzialne za zarządzanie kryzysowe w regionie, kraju , NIemczech i Czechach, pracownicy naukowi, przedstawiciele straży pożarnej, pracownicy Jednostki Regionalnej KSOW woj opolskiego                                                                                                                                                                                                                                                                                                                                            </t>
    </r>
    <r>
      <rPr>
        <b/>
        <sz val="10"/>
        <color indexed="8"/>
        <rFont val="Calibri"/>
        <family val="2"/>
        <charset val="238"/>
      </rPr>
      <t xml:space="preserve">2016: </t>
    </r>
    <r>
      <rPr>
        <sz val="10"/>
        <color indexed="8"/>
        <rFont val="Calibri"/>
        <family val="2"/>
        <charset val="238"/>
      </rPr>
      <t xml:space="preserve">                                                                                                                                                                                                                                                                                                                                                   Uczestnikami szkoleń / warsztatów i wyjazdów studyjnych byli liderzy wiejscy, animatorzy życia na obszarach wiejskich, członkowie oraz potencjalni członkowie  sieci "Szlak Lulinarny Województwa Opolskiego </t>
    </r>
    <r>
      <rPr>
        <i/>
        <sz val="10"/>
        <color indexed="8"/>
        <rFont val="Calibri"/>
        <family val="2"/>
        <charset val="238"/>
      </rPr>
      <t>Opolski Bifyj</t>
    </r>
    <r>
      <rPr>
        <sz val="10"/>
        <color indexed="8"/>
        <rFont val="Calibri"/>
        <family val="2"/>
        <charset val="238"/>
      </rPr>
      <t>, mieszkańcy Gminy Bierawa, rolnicy z woj. opolskiego, doradcy rolni z Opolskiego Ośrodka Doradztwa Rolniczego w Łosiowie oraz pracownicy Jednostki Regionalnej KSOW woj opolskiego                                                                                                                                                               2017:                                                                                                                                                                                                                                                                                                                                                    Uczestnikami szkoleń / warsztatów i wyjazdów studyjnych byli liderzy wiejscy, animatorzy życia na obszarach wiejskich, przedstawiciele opolskich LGD mieszkańcy powiatu kędzierzyńsko-kozielskiego i oleskiego oraz pracownicy Jednostki Regionalnej KSOW woj opolskiego</t>
    </r>
  </si>
  <si>
    <t xml:space="preserve">1. W kosztach dot. wydarzeń ujęto także koszty wykonania materiałów promocyjnych i wizualizacyjnych w ramach Planu komunikacyjnego.                                                                         2. W kosztach związanych z innymi działaniami ujęto koszty poniesione na organizację posiedzeń WGR ds. KSOW i Zespołu Oceniającego, szkolenia (bez szkoleń ze struktury), warsztaty i wyjazdy studyjne.                                                                                                                      3.Koszty funkcjonowania dotyczą: wynagrodzenia pracowników JR KSOW, koszty najmu pomieszczeń biurowych wraz z energią elektryczną i ogrzewaniem, delegacji służbowych i szkoleń pracowników JR KSOW, zakupów art. biurowych, koszty napraw i konserwacji sprzętu biurowego. </t>
  </si>
  <si>
    <t>SR KSOW Województwa Podkarpackiego</t>
  </si>
  <si>
    <r>
      <rPr>
        <b/>
        <u/>
        <sz val="12"/>
        <color indexed="8"/>
        <rFont val="Arial"/>
        <family val="2"/>
        <charset val="238"/>
      </rPr>
      <t>Cel i kontekst Wspólnej Statystyki Sieci</t>
    </r>
    <r>
      <rPr>
        <sz val="12"/>
        <color indexed="8"/>
        <rFont val="Arial"/>
        <family val="2"/>
        <charset val="238"/>
      </rPr>
      <t xml:space="preserve">
Wspólna Statystyka Sieci została opracowana przez Punkt Kontaktowy ENRD we współpracy z jednostkami wspierającymi sieci w Państwach Członkowskich UE w celu uzyskania całościowego obrazu dokonań KSOW. Informacja ta zostanie wykorzystana do podsumowania i oceny działań sieci, a także umożliwi porównywanie sieci w różnych krajach UE.
</t>
    </r>
    <r>
      <rPr>
        <b/>
        <u/>
        <sz val="12"/>
        <color indexed="8"/>
        <rFont val="Arial"/>
        <family val="2"/>
        <charset val="238"/>
      </rPr>
      <t>Powiązania między Wspólną Statystyką Sieci i obligatoryjnymi wskaźnikami monitorowania określonymi w rozporządzeniu wykonawczym KE (UE) nr 808/2014</t>
    </r>
    <r>
      <rPr>
        <sz val="12"/>
        <color indexed="8"/>
        <rFont val="Arial"/>
        <family val="2"/>
        <charset val="238"/>
      </rPr>
      <t xml:space="preserve">
Celem Wspólnej Statystyki Sieci jest ułatwienie zbierania danych do obligatoryjnych wskaźników. Wszystkie podmioty zaangażowane w realizację zadań sieci wypełniają tylko arkusz </t>
    </r>
    <r>
      <rPr>
        <i/>
        <sz val="12"/>
        <color indexed="8"/>
        <rFont val="Arial"/>
        <family val="2"/>
        <charset val="238"/>
      </rPr>
      <t xml:space="preserve">"Wspólna Statystyka Sieci". </t>
    </r>
    <r>
      <rPr>
        <sz val="12"/>
        <color indexed="8"/>
        <rFont val="Arial"/>
        <family val="2"/>
        <charset val="238"/>
      </rPr>
      <t xml:space="preserve">
</t>
    </r>
    <r>
      <rPr>
        <b/>
        <u/>
        <sz val="12"/>
        <color indexed="8"/>
        <rFont val="Arial"/>
        <family val="2"/>
        <charset val="238"/>
      </rPr>
      <t>Definicje i wytyczne do poszczególnych wskaźników</t>
    </r>
    <r>
      <rPr>
        <sz val="12"/>
        <color indexed="8"/>
        <rFont val="Arial"/>
        <family val="2"/>
        <charset val="238"/>
      </rPr>
      <t xml:space="preserve">
W opisie poszczególnych wskaźników/mierników znajdują się wytyczne dla każdego wskaźnika. W sytuacji, kiedy wytyczne nie są jasne albo mierniki/wskaźniki nie są możliwe do uzupełnienia - prosimy wypełnić rubrykę "K</t>
    </r>
    <r>
      <rPr>
        <i/>
        <sz val="12"/>
        <color indexed="8"/>
        <rFont val="Arial"/>
        <family val="2"/>
        <charset val="238"/>
      </rPr>
      <t>omentarze"</t>
    </r>
    <r>
      <rPr>
        <sz val="12"/>
        <color indexed="8"/>
        <rFont val="Arial"/>
        <family val="2"/>
        <charset val="238"/>
      </rPr>
      <t xml:space="preserve">. 
 Zakres tematyczny został powiązany z priorytetami PROW 2014-2020.
</t>
    </r>
    <r>
      <rPr>
        <b/>
        <u/>
        <sz val="12"/>
        <color indexed="8"/>
        <rFont val="Arial"/>
        <family val="2"/>
        <charset val="238"/>
      </rPr>
      <t>Udział w budżecie</t>
    </r>
    <r>
      <rPr>
        <b/>
        <sz val="12"/>
        <color indexed="8"/>
        <rFont val="Arial"/>
        <family val="2"/>
        <charset val="238"/>
      </rPr>
      <t xml:space="preserve">
</t>
    </r>
    <r>
      <rPr>
        <sz val="12"/>
        <color indexed="8"/>
        <rFont val="Arial"/>
        <family val="2"/>
        <charset val="238"/>
      </rPr>
      <t>Szacowany podział budżetu (Tabela 8) ma na celu dostarczenie informacji jak proporcjonalnie środki</t>
    </r>
    <r>
      <rPr>
        <b/>
        <sz val="12"/>
        <color indexed="8"/>
        <rFont val="Arial"/>
        <family val="2"/>
        <charset val="238"/>
      </rPr>
      <t xml:space="preserve"> </t>
    </r>
    <r>
      <rPr>
        <sz val="12"/>
        <color indexed="8"/>
        <rFont val="Arial"/>
        <family val="2"/>
        <charset val="238"/>
      </rPr>
      <t xml:space="preserve">rocznego budżetu sieci zostały przeznaczone na odpowiednie działania objęte wskaźnikami. Proszę podaj budzet dla poszczególnych kategorii i wskaż trudności w komentarzu.
</t>
    </r>
    <r>
      <rPr>
        <b/>
        <u/>
        <sz val="12"/>
        <color indexed="8"/>
        <rFont val="Calibri"/>
        <family val="2"/>
        <charset val="238"/>
      </rPr>
      <t/>
    </r>
  </si>
  <si>
    <r>
      <t>Komentarze</t>
    </r>
    <r>
      <rPr>
        <sz val="12"/>
        <color indexed="8"/>
        <rFont val="Arial"/>
        <family val="2"/>
        <charset val="238"/>
      </rPr>
      <t xml:space="preserve"> 
(proszę wskazać co jest rozumiane przez kategorię "inne")</t>
    </r>
  </si>
  <si>
    <r>
      <t>Przedsięwzięcie zrealizowane z naciskiem na rozwój gospodarczy na obszarach wiejskich i włączenie społeczne</t>
    </r>
    <r>
      <rPr>
        <sz val="12"/>
        <color rgb="FFFF0000"/>
        <rFont val="Arial"/>
        <family val="2"/>
        <charset val="238"/>
      </rPr>
      <t xml:space="preserve"> </t>
    </r>
    <r>
      <rPr>
        <sz val="12"/>
        <rFont val="Arial"/>
        <family val="2"/>
        <charset val="238"/>
      </rPr>
      <t>(w wydarzeniu nie uczestniczyły innejednostki regionalne KSOW). Operacje o charakterze międzynarodowym to: Organizacja II Międzynarodowego Festiwalu Kuchni Dworskiej im. Hanny Szymanderskiej w Zamku Dubiecko (około 1000 uczestników) oraz EKOGALA międzynarodowe targi produktów i zywności wysokiej jakości (około 12 000 uczestników).</t>
    </r>
  </si>
  <si>
    <t>W wydarzeniu nie uczesticzyły inne jednistki regionalne KSOW.</t>
  </si>
  <si>
    <r>
      <t>Liczba innych narzędzi komunikacyjnych - proszę określić jakich w "</t>
    </r>
    <r>
      <rPr>
        <i/>
        <sz val="12"/>
        <color indexed="8"/>
        <rFont val="Arial"/>
        <family val="2"/>
        <charset val="238"/>
      </rPr>
      <t>Komentarzu"</t>
    </r>
  </si>
  <si>
    <r>
      <t xml:space="preserve">Komentarze 
</t>
    </r>
    <r>
      <rPr>
        <sz val="12"/>
        <color indexed="8"/>
        <rFont val="Arial"/>
        <family val="2"/>
        <charset val="238"/>
      </rPr>
      <t>(proszę wskazać co jest rozumiane przez kategorię "inne")</t>
    </r>
  </si>
  <si>
    <t>Funkcjonowanie Wojewódzkiej Grupy Roboczej ds.. Krajowej Sieci obszarów Wiejskich w wojeództwie podkarpackim (liczba spotakań grupy tematyczne obejmuje także głosowania w trybie obiegowym)</t>
  </si>
  <si>
    <r>
      <rPr>
        <b/>
        <sz val="12"/>
        <color theme="1"/>
        <rFont val="Arial"/>
        <family val="2"/>
        <charset val="238"/>
      </rPr>
      <t>Komentarze</t>
    </r>
    <r>
      <rPr>
        <sz val="12"/>
        <color theme="1"/>
        <rFont val="Arial"/>
        <family val="2"/>
        <charset val="238"/>
      </rPr>
      <t xml:space="preserve"> 
(proszę wskazać co jest rozumiane przez kategorię "inne")</t>
    </r>
  </si>
  <si>
    <t>Szkolenie dla beneficjentów i przyszłych beneficjentów PROW.</t>
  </si>
  <si>
    <r>
      <t xml:space="preserve">Komentarze </t>
    </r>
    <r>
      <rPr>
        <sz val="12"/>
        <color indexed="8"/>
        <rFont val="Arial"/>
        <family val="2"/>
        <charset val="238"/>
      </rPr>
      <t>(proszę wskazać także inne kategorie)</t>
    </r>
  </si>
  <si>
    <t>Koszty funkjcjonowania dotyczą: wynagrodzeń, szkoleń, wyjazdów służbowych, zaku materiałów biurowych, zakup programu corel, szkoleń.</t>
  </si>
  <si>
    <t>Sekretariat Regionalny KSOW Województwa Podlaskiego</t>
  </si>
  <si>
    <r>
      <t xml:space="preserve">W kategorii "inne" w 2016 roku uwzględniono:  
</t>
    </r>
    <r>
      <rPr>
        <sz val="10"/>
        <rFont val="Calibri"/>
        <family val="2"/>
        <charset val="238"/>
      </rPr>
      <t xml:space="preserve">- Operacje zrealizowane z partnerem KSOW: Zespołem Szkół Centrum Kształcenia Rolniczego w Rudce oraz Powiatem Monieckim realizujące jednocześnie 2 priorytety (P3 oraz P6)
- Udział stoiska informacyjno-promocyjnego podczas ważnych imprez plenerowych na terenie woj. podlaskiego podczas, którego świadczone było doradztwo w zakresie warunków i trybu przyznawania pomocy w ramach poddziałań wdrażanych przez Samorząd Województwa (4 edycje).     
- Spotkanie koordynacyjne zespołu ds. zadań informacyjno-promocyjnych PROW 2014-2020 z udziałem instytucji wdrażających oraz mediów regionalnych. </t>
    </r>
    <r>
      <rPr>
        <b/>
        <sz val="10"/>
        <rFont val="Calibri"/>
        <family val="2"/>
        <charset val="238"/>
      </rPr>
      <t xml:space="preserve">
Organizowane Wydarzenia przez JR KSOW w 2017 roku:
</t>
    </r>
    <r>
      <rPr>
        <b/>
        <u/>
        <sz val="10"/>
        <rFont val="Calibri"/>
        <family val="2"/>
        <charset val="238"/>
      </rPr>
      <t>W kategorii „Z naciskiem na żywotność i konkurencyjność gospodarstw” w 2017 roku uwzględniono:</t>
    </r>
    <r>
      <rPr>
        <b/>
        <sz val="10"/>
        <rFont val="Calibri"/>
        <family val="2"/>
        <charset val="238"/>
      </rPr>
      <t xml:space="preserve">
</t>
    </r>
    <r>
      <rPr>
        <sz val="10"/>
        <rFont val="Calibri"/>
        <family val="2"/>
        <charset val="238"/>
      </rPr>
      <t>1) IX Międzynarodowe Targi Turystyki Wiejskiej i Agroturystyki - AGROTRAVEL (7-9.04.2017),
2) Debata "Rolniczy handel detaliczny" (26.04.2017), 
3) Międzynarodowe Targi  Warsaw Food EXPO 2017 w Nadarzynie (1-3.06.2017),
4) Na Kulinarnym Szlaku Wschodniej Polski – Bychawa (27-28.05.2017),
5) Szepietowo XXIV Wystawa Zwierząt Hodowlanych i Dni z Doradztwem Rolniczym (24-25.06.2017),
6) Na Kulinarnym Szlaku Wschodniej Polski – Medynia (09.07.2017)
7) Na Kulinarnym Szlaku Wschodniej Polski – Drohiczyn (29-30.07.2017),
8) Dożynki Prezydenckie w Spale (16-17.09.2017)  
9) Targi "Smaki Regionów" w Poznaniu (23-26.09.2017),  
10) Spotkanie blogerów z producentami rolnymi,
11) Jarmark produktów tradycyjnych i lokalnych (27.08.2017),
12) Kiermasz zdrowej żywności i rękodzieła „NATURA I MY”,
13) Jagnięcina podlaska na śniadaniu Mistrzów (12.08.2017).</t>
    </r>
    <r>
      <rPr>
        <b/>
        <sz val="10"/>
        <rFont val="Calibri"/>
        <family val="2"/>
        <charset val="238"/>
      </rPr>
      <t xml:space="preserve">
</t>
    </r>
    <r>
      <rPr>
        <b/>
        <u/>
        <sz val="10"/>
        <rFont val="Calibri"/>
        <family val="2"/>
        <charset val="238"/>
      </rPr>
      <t xml:space="preserve">
 W kategorii "z naciskiem na zarządzanie ekosystemami, zasoby naturalne i klimat" uwzględniono:</t>
    </r>
    <r>
      <rPr>
        <b/>
        <sz val="10"/>
        <rFont val="Calibri"/>
        <family val="2"/>
        <charset val="238"/>
      </rPr>
      <t xml:space="preserve">  
</t>
    </r>
    <r>
      <rPr>
        <sz val="10"/>
        <rFont val="Calibri"/>
        <family val="2"/>
        <charset val="238"/>
      </rPr>
      <t xml:space="preserve">1) Debata "OZE na wsi dla zwykłego człowieka" (23.11.2017).  </t>
    </r>
    <r>
      <rPr>
        <b/>
        <sz val="10"/>
        <rFont val="Calibri"/>
        <family val="2"/>
        <charset val="238"/>
      </rPr>
      <t xml:space="preserve">
</t>
    </r>
    <r>
      <rPr>
        <b/>
        <u/>
        <sz val="10"/>
        <rFont val="Calibri"/>
        <family val="2"/>
        <charset val="238"/>
      </rPr>
      <t>W kategorii „Z naciskiem na włączenie społeczne, redukcja ubóstwa” w 2017 roku uwzględniono:</t>
    </r>
    <r>
      <rPr>
        <b/>
        <sz val="10"/>
        <rFont val="Calibri"/>
        <family val="2"/>
        <charset val="238"/>
      </rPr>
      <t xml:space="preserve">
</t>
    </r>
    <r>
      <rPr>
        <sz val="10"/>
        <rFont val="Calibri"/>
        <family val="2"/>
        <charset val="238"/>
      </rPr>
      <t xml:space="preserve">1) Forum Rolnicze  w Janowie z udziałem samorządu rolniczego (11.06.2017),
2) Święto Wsi - cudze chwalicie, swego nie znacie (10.09.2017).               </t>
    </r>
    <r>
      <rPr>
        <b/>
        <sz val="10"/>
        <rFont val="Calibri"/>
        <family val="2"/>
        <charset val="238"/>
      </rPr>
      <t xml:space="preserve">                                                                                                                                                       
</t>
    </r>
    <r>
      <rPr>
        <b/>
        <u/>
        <sz val="10"/>
        <rFont val="Calibri"/>
        <family val="2"/>
        <charset val="238"/>
      </rPr>
      <t>W kategorii "Inne lub mieszane" w 2017 roku uwzględniono:</t>
    </r>
    <r>
      <rPr>
        <b/>
        <sz val="10"/>
        <rFont val="Calibri"/>
        <family val="2"/>
        <charset val="238"/>
      </rPr>
      <t xml:space="preserve">
</t>
    </r>
    <r>
      <rPr>
        <sz val="10"/>
        <rFont val="Calibri"/>
        <family val="2"/>
        <charset val="238"/>
      </rPr>
      <t>1) Udział stoiska informacyjno-promocyjnego podczas ważnych imprez plenerowych na terenie woj. podlaskiego podczas, którego świadczone było doradztwo w zakresie warunków i trybu przyznawania pomocy w ramach poddziałań wdrażanych przez Samorząd Województwa (6 edycji),  
2) Przekazywanie informacji o PROW 2014-2020 pracownikom punktów informacyjnych (2 edycje),
3) Drewniane budownictwo w krajobrazie Podlasia. Dobre praktyki (20.09.2017).</t>
    </r>
    <r>
      <rPr>
        <b/>
        <sz val="10"/>
        <rFont val="Calibri"/>
        <family val="2"/>
        <charset val="238"/>
      </rPr>
      <t xml:space="preserve">
</t>
    </r>
  </si>
  <si>
    <r>
      <t xml:space="preserve">Organizowane przez JR KSOW wydarzenia w 2016 r. o zasięgu krajowym:
</t>
    </r>
    <r>
      <rPr>
        <sz val="10"/>
        <rFont val="Calibri"/>
        <family val="2"/>
        <charset val="238"/>
      </rPr>
      <t xml:space="preserve"> - Udział ze stoiskiem informacyjno – promocyjnym w Targach „Smaki Regionów” w Poznaniu  (zgodnie z informacją na stronie organizatora tragi odwiedziło 35 000 osób);</t>
    </r>
    <r>
      <rPr>
        <b/>
        <sz val="10"/>
        <rFont val="Calibri"/>
        <family val="2"/>
        <charset val="238"/>
      </rPr>
      <t xml:space="preserve">
  Organizowane przez JR KSOW wydarzenia w 2017 r.
</t>
    </r>
    <r>
      <rPr>
        <sz val="10"/>
        <rFont val="Calibri"/>
        <family val="2"/>
        <charset val="238"/>
      </rPr>
      <t xml:space="preserve">1) IX Międzynarodowe Targi Turystyki Wiejskiej i Agroturystyki  - AGROTRAVEL - 23 000 odwiedzających (dane ze strony organizatora) - Zasięg krajowy,
2) Debata "Rolniczy handel detaliczny" - 271 uczestników debaty - Zasięg lokalny/regionalny, 
3) Międzynarodowe Targi  Warsaw Food EXPO 2017 w Nadarzynie - 300 wystawców (dane ze strony organizatora)- Zasięg krajowy,
4) Na Kulinarnym Szlaku Wschodniej Polski – Bychawa - 15 000  odwiedzających (dane ze strony organizatora) - Zasięg krajowy,
5) Szepietowo XXIV Wystawa Zwierząt Hodowlanych i Dni z Doradztwem Rolniczym (brak danych) - Zasięg lokalny/regionalny,
6) Forum Rolnicze  w Janowie z udziałem samorządu rolniczego - 97 uczestników forum - Zasięg lokalny/regionalny,            
7) Debata "OZE na wsi dla zwykłego człowieka" - 62 uczestników debaty - Zasięg lokalny/regionalny,
8) Na Kulinarnym Szlaku Wschodniej Polski – Medynia - 50 wystawców (dane ze strony organizatora) - Zasięg krajowy, 
9) Na Kulinarnym Szlaku Wschodniej Polski – Drohiczyn - 30 wystawców (dane ze strony organizatora) - Zasięg krajowy, </t>
    </r>
    <r>
      <rPr>
        <sz val="10"/>
        <color rgb="FFFF0000"/>
        <rFont val="Calibri"/>
        <family val="2"/>
        <charset val="238"/>
      </rPr>
      <t xml:space="preserve">
</t>
    </r>
    <r>
      <rPr>
        <sz val="10"/>
        <rFont val="Calibri"/>
        <family val="2"/>
        <charset val="238"/>
      </rPr>
      <t>10) Dożynki Prezydenckie w Spale - około 10 000 odwiedzających (dane ze strony organizatora) - Zasięg krajowy,</t>
    </r>
    <r>
      <rPr>
        <sz val="10"/>
        <color rgb="FFFF0000"/>
        <rFont val="Calibri"/>
        <family val="2"/>
        <charset val="238"/>
      </rPr>
      <t xml:space="preserve">
</t>
    </r>
    <r>
      <rPr>
        <sz val="10"/>
        <rFont val="Calibri"/>
        <family val="2"/>
        <charset val="238"/>
      </rPr>
      <t xml:space="preserve">11) Targi "Smaki Regionów" w Poznaniu - około 200 wystawców (dane ze strony organizatora)- Zasięg krajowy, </t>
    </r>
    <r>
      <rPr>
        <sz val="10"/>
        <color rgb="FFFF0000"/>
        <rFont val="Calibri"/>
        <family val="2"/>
        <charset val="238"/>
      </rPr>
      <t xml:space="preserve">
</t>
    </r>
    <r>
      <rPr>
        <sz val="10"/>
        <rFont val="Calibri"/>
        <family val="2"/>
        <charset val="238"/>
      </rPr>
      <t xml:space="preserve">12) Spotkanie blogerów z producentami rolnymi -  33 uczestników - Zasięg lokalny/regionalny,      </t>
    </r>
    <r>
      <rPr>
        <sz val="10"/>
        <color rgb="FFFF0000"/>
        <rFont val="Calibri"/>
        <family val="2"/>
        <charset val="238"/>
      </rPr>
      <t xml:space="preserve">
</t>
    </r>
    <r>
      <rPr>
        <sz val="10"/>
        <rFont val="Calibri"/>
        <family val="2"/>
        <charset val="238"/>
      </rPr>
      <t>13) Jarmark produktów tradycyjnych i lokalnych - 55 wystawców - Zasięg lokalny/regionalny,</t>
    </r>
    <r>
      <rPr>
        <sz val="10"/>
        <color rgb="FFFF0000"/>
        <rFont val="Calibri"/>
        <family val="2"/>
        <charset val="238"/>
      </rPr>
      <t xml:space="preserve">
</t>
    </r>
    <r>
      <rPr>
        <sz val="10"/>
        <rFont val="Calibri"/>
        <family val="2"/>
        <charset val="238"/>
      </rPr>
      <t>14) Kiermasz zdrowej żywności i rękodzieła „NATURA I MY” - 1 000 odwiedzających (dane organizatora) - Zasięg lokalny/regionalny,</t>
    </r>
    <r>
      <rPr>
        <sz val="10"/>
        <color rgb="FFFF0000"/>
        <rFont val="Calibri"/>
        <family val="2"/>
        <charset val="238"/>
      </rPr>
      <t xml:space="preserve">
</t>
    </r>
    <r>
      <rPr>
        <sz val="10"/>
        <rFont val="Calibri"/>
        <family val="2"/>
        <charset val="238"/>
      </rPr>
      <t>15) Jagnięcina podlaska na śniadaniu Mistrzów - 35 wystawców - Zasięg lokalny/regionalny,</t>
    </r>
    <r>
      <rPr>
        <sz val="10"/>
        <color rgb="FFFF0000"/>
        <rFont val="Calibri"/>
        <family val="2"/>
        <charset val="238"/>
      </rPr>
      <t xml:space="preserve">
</t>
    </r>
    <r>
      <rPr>
        <sz val="10"/>
        <rFont val="Calibri"/>
        <family val="2"/>
        <charset val="238"/>
      </rPr>
      <t xml:space="preserve">16) Święto Wsi - cudze chwalicie, swego nie znacie - 12 wystawców - Zasięg lokalny/regionalny,      </t>
    </r>
    <r>
      <rPr>
        <sz val="10"/>
        <color rgb="FFFF0000"/>
        <rFont val="Calibri"/>
        <family val="2"/>
        <charset val="238"/>
      </rPr>
      <t xml:space="preserve">                                                                                                                                                                                                                    
</t>
    </r>
    <r>
      <rPr>
        <sz val="10"/>
        <rFont val="Calibri"/>
        <family val="2"/>
        <charset val="238"/>
      </rPr>
      <t xml:space="preserve">17) Udział stoiska informacyjno-promocyjnego podczas ważnych imprez plenerowych na terenie woj. podlaskiego podczas, którego świadczone było doradztwo w zakresie warunków i trybu przyznawania pomocy w ramach poddziałań wdrażanych przez  Samorząd Województwa (6 edycji) - liczba osób odwiedzających stoisko - 334 osoby - Zasięg lokalny/regionalny,  </t>
    </r>
    <r>
      <rPr>
        <sz val="10"/>
        <color rgb="FFFF0000"/>
        <rFont val="Calibri"/>
        <family val="2"/>
        <charset val="238"/>
      </rPr>
      <t xml:space="preserve">
</t>
    </r>
    <r>
      <rPr>
        <sz val="10"/>
        <rFont val="Calibri"/>
        <family val="2"/>
        <charset val="238"/>
      </rPr>
      <t>18) Przekazywanie informacji o PROW 2014-2020 pracownikom punktów informacyjnych (2 edycje) - 25 osób - Zasięg lokalny/regionalny.</t>
    </r>
    <r>
      <rPr>
        <sz val="10"/>
        <color rgb="FFFF0000"/>
        <rFont val="Calibri"/>
        <family val="2"/>
        <charset val="238"/>
      </rPr>
      <t xml:space="preserve">
</t>
    </r>
    <r>
      <rPr>
        <sz val="10"/>
        <rFont val="Calibri"/>
        <family val="2"/>
        <charset val="238"/>
      </rPr>
      <t>19) Drewniane budownictwo w krajobrazie Podlasia. Dobre praktyki - 50 osób - Zasięg lokalny/regionalny.</t>
    </r>
  </si>
  <si>
    <t xml:space="preserve">Dane wskazane w niniejszej tabeli dotyczą statystyki strony KSOW województwa podlaskiego administrowanej przez Jednostkę Centralną KSOW oraz statystyki strony PROW 2014-2020 prowadzonej przez UMWP. </t>
  </si>
  <si>
    <t xml:space="preserve"> #poznajprow (instagram i facebook)</t>
  </si>
  <si>
    <t>W kategorii "inne" w 2016 roku uwzględniono publikację "Stare w Nowym" dotyczącą rękodzieła ludowego (koronkarstwo).</t>
  </si>
  <si>
    <r>
      <rPr>
        <b/>
        <sz val="10"/>
        <rFont val="Calibri"/>
        <family val="2"/>
        <charset val="238"/>
        <scheme val="minor"/>
      </rPr>
      <t>Liczba multimediów i innych narzędzi komunikacji 2016 r.</t>
    </r>
    <r>
      <rPr>
        <sz val="10"/>
        <rFont val="Calibri"/>
        <family val="2"/>
        <charset val="238"/>
        <scheme val="minor"/>
      </rPr>
      <t xml:space="preserve"> 
W kategorii "Liczba innych narzędzi komunikacyjnych" w 2016 roku uwzględniono:                                                                                                                                                                     - 15 artykułów internetowych oraz 1 artykuł w prasie                                                                                                                                                                                                                            - tablice informacyjne (komplet 1)                                                                                                                                                                                                                                                                                                                                                                                                                                                                                          Do kategorii "Inne lub mieszane" zaliczają się w szczególności informacje na temat działań i poddziałań PROW 2014-2020 wdrażanych przez poszczególne instytucje oraz kampania informacyjna bezpieczna praca w gospodarstwie rolnym.              
</t>
    </r>
    <r>
      <rPr>
        <b/>
        <sz val="10"/>
        <rFont val="Calibri"/>
        <family val="2"/>
        <charset val="238"/>
        <scheme val="minor"/>
      </rPr>
      <t xml:space="preserve">Liczba multimediów i innych narzędzi komunikacji 2017 r. </t>
    </r>
    <r>
      <rPr>
        <sz val="10"/>
        <rFont val="Calibri"/>
        <family val="2"/>
        <charset val="238"/>
        <scheme val="minor"/>
      </rPr>
      <t xml:space="preserve">
W kategorii „Inne lub mieszane” uwzględniono:                                                                                                                                                                                                                                 1) „Olimpiadę Młodych Producentów Rolnych”
Zakres tematyczny konkursu obejmował m.in. zagadnienia związane z produkcją roślinną i  zwierzęcą, mechanizację rolnictwa, ochronę środowiska i odnawialne źródła energii, ekonomikę i zarządzanie, zasady bezpieczeństwa i higieny pracy a także zagadnienia dotyczące Wspólnej Polityki Rolnej oraz Programu Rozwoju Obszarów Wiejskich na lata 2014 - 2020.
2) Kampania informacyjna w zakresie zagrożeń związanych z wystąpieniem chorób zakaźnych zwierząt – afrykański pomór świń ASF, wysoce zjadliwa grypa ptaków HPAI 
3) 14 artykułów internetowych, 8 artykułów w prasie odnośnie KSOW (7 - Polska Press, 1 - Głos Siemiatycz)                                                                                                                      </t>
    </r>
  </si>
  <si>
    <t>Nie dotyczy</t>
  </si>
  <si>
    <t>Spotkania wojewódzkiej grupy roboczej ds. KSOW (w tym również w trybie obiegowym).</t>
  </si>
  <si>
    <r>
      <t xml:space="preserve">Liczba działań o charakterze szkoleniowym w 2016 roku:
</t>
    </r>
    <r>
      <rPr>
        <b/>
        <u/>
        <sz val="10"/>
        <rFont val="Calibri"/>
        <family val="2"/>
        <charset val="238"/>
        <scheme val="minor"/>
      </rPr>
      <t xml:space="preserve">W kategorii "Inne tematy lub tematy mieszane" uwzględniono: </t>
    </r>
    <r>
      <rPr>
        <b/>
        <sz val="10"/>
        <rFont val="Calibri"/>
        <family val="2"/>
        <charset val="238"/>
        <scheme val="minor"/>
      </rPr>
      <t xml:space="preserve">     
</t>
    </r>
    <r>
      <rPr>
        <sz val="10"/>
        <rFont val="Calibri"/>
        <family val="2"/>
        <charset val="238"/>
        <scheme val="minor"/>
      </rPr>
      <t>- szkolenia dla beneficjentów lub potencjalnych beneficjentów, pracowników PIFE oraz mediów regionalnych dot. działań i poddziałań wdrażanych przez SW, 
- szkolenie dotyczące nowelizacji PZP przeznaczone dla beneficjentów PROW 2014-2020.</t>
    </r>
    <r>
      <rPr>
        <b/>
        <sz val="10"/>
        <rFont val="Calibri"/>
        <family val="2"/>
        <charset val="238"/>
        <scheme val="minor"/>
      </rPr>
      <t xml:space="preserve">
Liczba działań o charakterze szkoleniowym w 2017 roku:
</t>
    </r>
    <r>
      <rPr>
        <b/>
        <u/>
        <sz val="10"/>
        <rFont val="Calibri"/>
        <family val="2"/>
        <charset val="238"/>
        <scheme val="minor"/>
      </rPr>
      <t>W kategorii „Z naciskiem na LEADER/RLKS i LGD…” uwzględniono:</t>
    </r>
    <r>
      <rPr>
        <b/>
        <sz val="10"/>
        <rFont val="Calibri"/>
        <family val="2"/>
        <charset val="238"/>
        <scheme val="minor"/>
      </rPr>
      <t xml:space="preserve">
</t>
    </r>
    <r>
      <rPr>
        <sz val="10"/>
        <rFont val="Calibri"/>
        <family val="2"/>
        <charset val="238"/>
        <scheme val="minor"/>
      </rPr>
      <t xml:space="preserve">1) Spotkanie informacyjne dla LGD dotyczące stanu wdrażania RLKS w województwie podlaskim (01.02.2017).
2) Forum Podlaskiej Sieci LGD w Rajgrodzie (11-12.05.2017).
3) Spotkanie informacyjne dla LGD związane z realizacją wielofunduszowych strategii (14.06.2017).                                                            
4) Forum Podlaskiej Sieci LGD w Pilikach (20-21.09.2017)   
</t>
    </r>
    <r>
      <rPr>
        <b/>
        <sz val="10"/>
        <rFont val="Calibri"/>
        <family val="2"/>
        <charset val="238"/>
        <scheme val="minor"/>
      </rPr>
      <t xml:space="preserve">
</t>
    </r>
    <r>
      <rPr>
        <b/>
        <u/>
        <sz val="10"/>
        <rFont val="Calibri"/>
        <family val="2"/>
        <charset val="238"/>
        <scheme val="minor"/>
      </rPr>
      <t>W kategorii "Z naciskiem na zarządzanie ekosystemami, zasoby naturalne i klimat":</t>
    </r>
    <r>
      <rPr>
        <b/>
        <sz val="10"/>
        <rFont val="Calibri"/>
        <family val="2"/>
        <charset val="238"/>
        <scheme val="minor"/>
      </rPr>
      <t xml:space="preserve">
</t>
    </r>
    <r>
      <rPr>
        <sz val="10"/>
        <rFont val="Calibri"/>
        <family val="2"/>
        <charset val="238"/>
        <scheme val="minor"/>
      </rPr>
      <t xml:space="preserve">1) Wyjazd studyjny dla LGD w zakresie Odnawialnych źródeł energii – w poszukiwaniu innowacyjnych rozwiązań (9-13.10.2017) </t>
    </r>
    <r>
      <rPr>
        <b/>
        <sz val="10"/>
        <rFont val="Calibri"/>
        <family val="2"/>
        <charset val="238"/>
        <scheme val="minor"/>
      </rPr>
      <t xml:space="preserve"> 
</t>
    </r>
    <r>
      <rPr>
        <b/>
        <u/>
        <sz val="10"/>
        <rFont val="Calibri"/>
        <family val="2"/>
        <charset val="238"/>
        <scheme val="minor"/>
      </rPr>
      <t>W kategorii „Z naciskiem na żywotność i konkurencyjność gospodarstw” uwzględniono</t>
    </r>
    <r>
      <rPr>
        <b/>
        <sz val="10"/>
        <rFont val="Calibri"/>
        <family val="2"/>
        <charset val="238"/>
        <scheme val="minor"/>
      </rPr>
      <t xml:space="preserve">:
</t>
    </r>
    <r>
      <rPr>
        <sz val="10"/>
        <rFont val="Calibri"/>
        <family val="2"/>
        <charset val="238"/>
        <scheme val="minor"/>
      </rPr>
      <t xml:space="preserve">
1) Seminarium pszczelarskie połączone z degustacją produktów pszczelich - przedsięwzięcie edukacyjne (22-23.04.2017),  
2) Przetwarzanie mleka udojowego – warsztaty serowarskie - Powiat siemiatycki, bielski, hajnowski, kolneński, zambrowski i łomżyński (27-29.03.2017, 15-17.11.2017 oraz 22-24.11.2017),                                        
3) Warsztaty pn. "Rośliny bobowate grubonasienne w województwie podlaskim jako alternatywa dla importowanej poekstrakcyjnej śruty sojowej" (13-14.06.2017 oraz 16.11.2017),  
4) Cykl szkoleń nt. obowiązku w etykietowaniu produktów spożywczych dotyczących wartości odżywcze (12-15.12.2017),
5) Wyjazd studyjny dla rolników pn. "Sieciowanie współpracy rolniczej  jako metody zwiększenia opłacalności produkcji" (7-9.12.2017),</t>
    </r>
    <r>
      <rPr>
        <sz val="10"/>
        <color rgb="FFFF0000"/>
        <rFont val="Calibri"/>
        <family val="2"/>
        <charset val="238"/>
        <scheme val="minor"/>
      </rPr>
      <t xml:space="preserve">
</t>
    </r>
    <r>
      <rPr>
        <sz val="10"/>
        <rFont val="Calibri"/>
        <family val="2"/>
        <charset val="238"/>
        <scheme val="minor"/>
      </rPr>
      <t xml:space="preserve">6)  "Wieprzowina w różnych odsłonach a sprzedaż bezpośrednia - seminarium i warsztaty" (23-24.10.2017 oraz 27.10.2017). </t>
    </r>
    <r>
      <rPr>
        <b/>
        <sz val="10"/>
        <rFont val="Calibri"/>
        <family val="2"/>
        <charset val="238"/>
        <scheme val="minor"/>
      </rPr>
      <t xml:space="preserve">
W kategorii "Z naciskiem na włączenie społeczne, redukcja ubóstwa" uwzględniono:
</t>
    </r>
    <r>
      <rPr>
        <sz val="10"/>
        <rFont val="Calibri"/>
        <family val="2"/>
        <charset val="238"/>
        <scheme val="minor"/>
      </rPr>
      <t>1) Warsztaty pn. "Produkty rolne z Podlaskiego w walce z cukrzycą" (29.11.2017, 04.12.2017 oraz 08.12.2017),
2) Warsztaty tkackie pn. "Kultywowanie tradycyjnych zawodów - tkanina dwuosnowowa z Korycina" (29.04.2017, 20.05.2017, 17.06.2017, 01.07.2017 oraz 05.08.2017),
3) Szkolenie pn. "Innowacyjne technologie w agrotechnice szansą na wzrost rentowności gospodarstw rolnych (w tym aspekt doświadczalnictwa oceny odmian)" (22.09.2017),
4) Warsztaty pn. "Etno - design - dochodowa tradycja" (31.08-2.09.2017 oraz 28-30.09.2017),</t>
    </r>
    <r>
      <rPr>
        <sz val="10"/>
        <color rgb="FFFF0000"/>
        <rFont val="Calibri"/>
        <family val="2"/>
        <charset val="238"/>
        <scheme val="minor"/>
      </rPr>
      <t xml:space="preserve">
</t>
    </r>
    <r>
      <rPr>
        <sz val="10"/>
        <rFont val="Calibri"/>
        <family val="2"/>
        <charset val="238"/>
        <scheme val="minor"/>
      </rPr>
      <t>5) Warsztaty pn. "Żywność tradycyjna impulsem rozwoju usług na obszarach wiejskich" (3-6.10.2017 oraz 6-9.11.2017),</t>
    </r>
    <r>
      <rPr>
        <sz val="10"/>
        <color rgb="FFFF0000"/>
        <rFont val="Calibri"/>
        <family val="2"/>
        <charset val="238"/>
        <scheme val="minor"/>
      </rPr>
      <t xml:space="preserve">
</t>
    </r>
    <r>
      <rPr>
        <sz val="10"/>
        <rFont val="Calibri"/>
        <family val="2"/>
        <charset val="238"/>
        <scheme val="minor"/>
      </rPr>
      <t>6) Zajęcia edukacyjne pn."W podróży dookoła świata" (20-22.09.2017 oraz 25-26.09.2017 - Sojczyn Borowy, 20-22.09.2017 oraz 25-26.09.2017 - Białaszewo, 20-22.09.2017 oraz 25-26.09.2017 Boczki Świdnowo, 20-22.09.2017 oraz 25-26.09.2017 - Wojewodzin, 20-22.09.2017 oraz 25-26.09.2017 - Szymany</t>
    </r>
    <r>
      <rPr>
        <sz val="10"/>
        <color rgb="FFFF0000"/>
        <rFont val="Calibri"/>
        <family val="2"/>
        <charset val="238"/>
        <scheme val="minor"/>
      </rPr>
      <t xml:space="preserve">
</t>
    </r>
    <r>
      <rPr>
        <sz val="10"/>
        <rFont val="Calibri"/>
        <family val="2"/>
        <charset val="238"/>
        <scheme val="minor"/>
      </rPr>
      <t>7) Warsztaty pn. "Piękno naszych babć – powrót do natury" (15-16.09.2017 oraz 22-23.09.2017),</t>
    </r>
    <r>
      <rPr>
        <sz val="10"/>
        <color rgb="FFFF0000"/>
        <rFont val="Calibri"/>
        <family val="2"/>
        <charset val="238"/>
        <scheme val="minor"/>
      </rPr>
      <t xml:space="preserve">
</t>
    </r>
    <r>
      <rPr>
        <sz val="10"/>
        <rFont val="Calibri"/>
        <family val="2"/>
        <charset val="238"/>
        <scheme val="minor"/>
      </rPr>
      <t>8) Warsztaty pn. "Małe przetwórstwo szansą na rozwój lokalny" (04.10.2017, 11.10.2017, 18.10.2017, 19.10.2017),</t>
    </r>
    <r>
      <rPr>
        <sz val="10"/>
        <color rgb="FFFF0000"/>
        <rFont val="Calibri"/>
        <family val="2"/>
        <charset val="238"/>
        <scheme val="minor"/>
      </rPr>
      <t xml:space="preserve">
</t>
    </r>
    <r>
      <rPr>
        <sz val="10"/>
        <rFont val="Calibri"/>
        <family val="2"/>
        <charset val="238"/>
        <scheme val="minor"/>
      </rPr>
      <t>9) Konferencja pn. "Od aktywnego Koła Gospodyń Wiejskich do aktywnej wsi" (18.10.2017),</t>
    </r>
    <r>
      <rPr>
        <sz val="10"/>
        <color rgb="FFFF0000"/>
        <rFont val="Calibri"/>
        <family val="2"/>
        <charset val="238"/>
        <scheme val="minor"/>
      </rPr>
      <t xml:space="preserve">
</t>
    </r>
    <r>
      <rPr>
        <sz val="10"/>
        <rFont val="Calibri"/>
        <family val="2"/>
        <charset val="238"/>
        <scheme val="minor"/>
      </rPr>
      <t>10) Warsztaty pn. "Ogród ziołowy - tradycja, zdrowie, rozwój" (10.08.2017).</t>
    </r>
    <r>
      <rPr>
        <b/>
        <sz val="10"/>
        <rFont val="Calibri"/>
        <family val="2"/>
        <charset val="238"/>
        <scheme val="minor"/>
      </rPr>
      <t xml:space="preserve">
W kategorii "Inne tematy lub tematy mieszane" uwzględniono:  
</t>
    </r>
    <r>
      <rPr>
        <sz val="10"/>
        <rFont val="Calibri"/>
        <family val="2"/>
        <charset val="238"/>
        <scheme val="minor"/>
      </rPr>
      <t>1) Szkolenie "Funkcjonowanie KSOW w nowej perspektywie finansowej" (30.01.2017),   
2) Szkolenie dotyczące zasad wypełniania wniosku o przyznanie pomocy dla operacji typu „inwestycje w targowiska lub obiekty budowlane przeznaczone na cele lokalnych produktów” (20.06.2017),
3) Szkolenie pn. "Rachunkowość rolna - nie ma powodu by się jej bać" (26.10.2017),</t>
    </r>
    <r>
      <rPr>
        <b/>
        <sz val="10"/>
        <color rgb="FFFF0000"/>
        <rFont val="Calibri"/>
        <family val="2"/>
        <charset val="238"/>
        <scheme val="minor"/>
      </rPr>
      <t xml:space="preserve">
</t>
    </r>
    <r>
      <rPr>
        <sz val="10"/>
        <rFont val="Calibri"/>
        <family val="2"/>
        <charset val="238"/>
        <scheme val="minor"/>
      </rPr>
      <t xml:space="preserve">4) Szkolenie "Rozwój przedsiębiorczości na obszarze wiejskim - szkolenie dla beneficjentów PROW" (10.07.2017), 
5) Szkolenie dla Partnerów KSOW pn. "Omówienie zasad realizacji operacji w ramach Planu Działania KSOW",                                                                                                                                                                                                                                                                                                                                6) Szkolenie dla LGD nt. Konkurencyjnego wyboru wykonawców,                                                                                                                                                                                                                                                                                                                                                                                                                                7) Spotkanie informacyjno-edukacyjne dla beneficjentów realizujących operację typu „Inwestycje w targowiska lub obiekty budowlane przeznaczone na cele lokalnych produktów”. </t>
    </r>
  </si>
  <si>
    <r>
      <t xml:space="preserve">Liczba osób biorących udział w działaniach szkoleniowych w 2016 roku:
</t>
    </r>
    <r>
      <rPr>
        <u/>
        <sz val="10"/>
        <rFont val="Calibri"/>
        <family val="2"/>
        <charset val="238"/>
      </rPr>
      <t>W kategorii "Inne tematy lub tematy mieszane" uwzględniono:</t>
    </r>
    <r>
      <rPr>
        <sz val="10"/>
        <rFont val="Calibri"/>
        <family val="2"/>
        <charset val="238"/>
      </rPr>
      <t xml:space="preserve">
Przedstawicieli instytucji wdrażającej, przedstawicieli mediów lokalnych, członków organizacji pozarządowych oraz osoby zamieszkujące obszary wiejskie.
Liczba osób biorących udział w działaniach szkoleniowych w 2017 roku:
</t>
    </r>
    <r>
      <rPr>
        <u/>
        <sz val="10"/>
        <rFont val="Calibri"/>
        <family val="2"/>
        <charset val="238"/>
      </rPr>
      <t>W kategorii  „Z naciskiem na LEADER/RLKS i LGD…” uwzględniono:</t>
    </r>
    <r>
      <rPr>
        <sz val="10"/>
        <rFont val="Calibri"/>
        <family val="2"/>
        <charset val="238"/>
      </rPr>
      <t xml:space="preserve">
1) Spotkanie informacyjne dla LGD dotyczące stanu wdrażania RLKS w województwie podlaskim (w szkoleniu uczestniczyło 39 osób w tym 19 to przedstawiciele IW, a 20 to przedstawiciele LGD ). 
2) Forum Podlaskiej Sieci LGD w Rajgrodzie (51 osób w tym 11 osób to przedstawiciele IW, a 40 to przedstawiciele LGD).
3) Spotkanie informacyjne dla LGD związane z realizacją wielofunduszowych strategii (40 osób w tym 21 osób to przedstawiciele IW, a 19 to przedstawiciele LGD). 
4) Forum Podlaskiej Sieci LGD w Pilikach (60 osób w tym 16 osób to przedstawiciele IW, a 44 to przedstawiciele LGD) 
</t>
    </r>
    <r>
      <rPr>
        <u/>
        <sz val="10"/>
        <rFont val="Calibri"/>
        <family val="2"/>
        <charset val="238"/>
      </rPr>
      <t>W kategorii "Z naciskiem na zarządzanie ekosystemami, zasoby naturalne i klimat":</t>
    </r>
    <r>
      <rPr>
        <sz val="10"/>
        <rFont val="Calibri"/>
        <family val="2"/>
        <charset val="238"/>
      </rPr>
      <t xml:space="preserve">
1) Odnawialne źródła energii – w poszukiwaniu innowacyjnych rozwiązań (w wyjeździe uczestniczyło 29 osób w tym 27 przedstawiciele LGD) 
</t>
    </r>
    <r>
      <rPr>
        <u/>
        <sz val="10"/>
        <rFont val="Calibri"/>
        <family val="2"/>
        <charset val="238"/>
      </rPr>
      <t>W kategorii „Z naciskiem na żywotność i konkurencyjność gospodarstw” uwzględniono:</t>
    </r>
    <r>
      <rPr>
        <sz val="10"/>
        <rFont val="Calibri"/>
        <family val="2"/>
        <charset val="238"/>
      </rPr>
      <t xml:space="preserve">
1) Seminarium pszczelarskie połączone z degustacją produktów pszczelich - przedsięwzięcie edukacyjne (w seminarium uczestniczyło 121 osób).
2) Przetwarzanie mleka udojowego – warsztaty serowarskie - Powiat siemiatycki, bielski, hajnowski, kolneński, zambrowski i łomżyński (w warsztatach uczestniczyło łącznie 177 osoby).  
3) Warsztaty pn. "Rośliny bobowate grubonasienne w województwie podlaskim jako alternatywa dla importowanej poekstrakcyjnej śruty sojowej" (403 osoby)</t>
    </r>
    <r>
      <rPr>
        <sz val="10"/>
        <color rgb="FFFF0000"/>
        <rFont val="Calibri"/>
        <family val="2"/>
        <charset val="238"/>
      </rPr>
      <t xml:space="preserve">
</t>
    </r>
    <r>
      <rPr>
        <sz val="10"/>
        <rFont val="Calibri"/>
        <family val="2"/>
        <charset val="238"/>
      </rPr>
      <t>4) Cykl szkoleń nt. obowiązku w etykietowaniu produktów spożywczych dotyczących wartości odżywczej (91 osób),</t>
    </r>
    <r>
      <rPr>
        <sz val="10"/>
        <color rgb="FFFF0000"/>
        <rFont val="Calibri"/>
        <family val="2"/>
        <charset val="238"/>
      </rPr>
      <t xml:space="preserve">
</t>
    </r>
    <r>
      <rPr>
        <sz val="10"/>
        <rFont val="Calibri"/>
        <family val="2"/>
        <charset val="238"/>
      </rPr>
      <t xml:space="preserve">5) Wyjazd studyjny dla rolników pn. "Sieciowanie współpracy rolniczej  jako metody zwiększenia opłacalności produkcji" (22 osoby),
6)  "Wieprzowina w różnych odsłonach a sprzedaż bezpośrednia - seminarium i warsztaty" (60 osób). 
</t>
    </r>
    <r>
      <rPr>
        <u/>
        <sz val="10"/>
        <rFont val="Calibri"/>
        <family val="2"/>
        <charset val="238"/>
      </rPr>
      <t>W kategorii "Z naciskiem na włączenie społeczne, redukcja ubóstwa" uwzględniono:</t>
    </r>
    <r>
      <rPr>
        <sz val="10"/>
        <rFont val="Calibri"/>
        <family val="2"/>
        <charset val="238"/>
      </rPr>
      <t xml:space="preserve">
1) "Produkty rolne z Podlaskiego w walce z cukrzycą" - w warsztatach uczestniczyło łącznie 121 osób,
2)  Kultywowanie tradycyjnych zawodów - tkanina dwuosnowowa z Korycina - w warsztatach uczesniczyło łącznie 100 osób.
3) Szkolenie pn. "Innowacyjne technologie w agrotechnice szansą na wzrost rentowności gospodarstw rolnych (w tym aspekt doświadczalnictwa oceny odmian)" (105 osób),
4) Warsztaty pn. "Etno - design - dochodowa tradycja" (20 osób),</t>
    </r>
    <r>
      <rPr>
        <sz val="10"/>
        <color rgb="FFFF0000"/>
        <rFont val="Calibri"/>
        <family val="2"/>
        <charset val="238"/>
      </rPr>
      <t xml:space="preserve">
</t>
    </r>
    <r>
      <rPr>
        <sz val="10"/>
        <rFont val="Calibri"/>
        <family val="2"/>
        <charset val="238"/>
      </rPr>
      <t>5) Warsztaty pn. "Żywność tradycyjna impulsem rozwoju usług na obszarach wiejskich" (40 osób),</t>
    </r>
    <r>
      <rPr>
        <sz val="10"/>
        <color rgb="FFFF0000"/>
        <rFont val="Calibri"/>
        <family val="2"/>
        <charset val="238"/>
      </rPr>
      <t xml:space="preserve">
</t>
    </r>
    <r>
      <rPr>
        <sz val="10"/>
        <rFont val="Calibri"/>
        <family val="2"/>
        <charset val="238"/>
      </rPr>
      <t>6) Zajęcia edukacyjne pn."W podróży dookoła świata" (246 osób),</t>
    </r>
    <r>
      <rPr>
        <sz val="10"/>
        <color rgb="FFFF0000"/>
        <rFont val="Calibri"/>
        <family val="2"/>
        <charset val="238"/>
      </rPr>
      <t xml:space="preserve">
</t>
    </r>
    <r>
      <rPr>
        <sz val="10"/>
        <rFont val="Calibri"/>
        <family val="2"/>
        <charset val="238"/>
      </rPr>
      <t>7) Warsztaty pn. "Piękno naszych babć – powrót do natury" (40 osób),</t>
    </r>
    <r>
      <rPr>
        <sz val="10"/>
        <color rgb="FFFF0000"/>
        <rFont val="Calibri"/>
        <family val="2"/>
        <charset val="238"/>
      </rPr>
      <t xml:space="preserve">
</t>
    </r>
    <r>
      <rPr>
        <sz val="10"/>
        <rFont val="Calibri"/>
        <family val="2"/>
        <charset val="238"/>
      </rPr>
      <t>8) Warsztaty pn. "Małe przetwórstwo szansą na rozwój lokalny" (60 osób),</t>
    </r>
    <r>
      <rPr>
        <sz val="10"/>
        <color rgb="FFFF0000"/>
        <rFont val="Calibri"/>
        <family val="2"/>
        <charset val="238"/>
      </rPr>
      <t xml:space="preserve">
</t>
    </r>
    <r>
      <rPr>
        <sz val="10"/>
        <rFont val="Calibri"/>
        <family val="2"/>
        <charset val="238"/>
      </rPr>
      <t>9) Konferencja pn. "Od aktywnego Koła Gospodyń Wiejskich do aktywnej wsi" (72 osoby),</t>
    </r>
    <r>
      <rPr>
        <sz val="10"/>
        <color rgb="FFFF0000"/>
        <rFont val="Calibri"/>
        <family val="2"/>
        <charset val="238"/>
      </rPr>
      <t xml:space="preserve">
</t>
    </r>
    <r>
      <rPr>
        <sz val="10"/>
        <rFont val="Calibri"/>
        <family val="2"/>
        <charset val="238"/>
      </rPr>
      <t xml:space="preserve">10) Warsztaty pn. "Ogród ziołowy - tradycja, zdrowie, rozwój" (90 osób).
</t>
    </r>
    <r>
      <rPr>
        <u/>
        <sz val="10"/>
        <rFont val="Calibri"/>
        <family val="2"/>
        <charset val="238"/>
      </rPr>
      <t xml:space="preserve">
W kategorii "Inne tematy lub tematy mieszane" uwzględniono:</t>
    </r>
    <r>
      <rPr>
        <sz val="10"/>
        <rFont val="Calibri"/>
        <family val="2"/>
        <charset val="238"/>
      </rPr>
      <t xml:space="preserve"> 
1) Szkolenie "Funkcjonowanie KSOW w nowej perspektywie finansowej" (w szkoleniu uczestniczyło 57 osób w tym 51 to partnerzy KSOW).  
2) Szkolenie dotyczące zasad wypełniania wniosku o przyznanie pomocy dla operacji typu „Inwestycje w targowiska lub obiekty budowlane przeznaczone na cele lokalnych produktów” (w szkoleniu uczestniczyło 35 osób). 
3) Szkolenie "Rozwój przedsiębiorczości na obszarze wiejskim - szkolenie dla beneficjentów PROW" (w szkoleniu uczesniczyło 35 osób, w tym 29 to przedstawiciele LGD). 
4) Szkolenie dla Partnerów KSOW pn. "Omówienie zasad realizacji operacji w ramach Planu Działania KSOW" (w szkoleniu uczestniczyło 36 osób w tym 28 osób to Partnerzy KSOW).
5) Szkolenie dla LGD nt. Konkurencyjnego wyboru wykonawców (W szkoleniu uczestniczyło 36 osób, w tym 27 to przedstawiciele LGD). 
6) Spotkanie informacyjno-edukacyjne dla beneficjentów realizujących operację typu „Inwestycje w targowiska lub obiekty budowlane przeznaczone na cele lokalnych produktów”. 
7) Szkolenie pn. "Rachunkowość rolna - nie ma powodu by się jej bać" (w szkoleniu uczestniczyło 50 osób)
W kategorii "Inne tematy lub tematy mieszane" uwzględniono:                                                                                     
Podmioty zainteresowane pszczelarstwem z województwa podlaskiego, uczniowie szkół rolniczych Partnerzy KSOW, mieszkańcy obszarów wiejskich woj. podlaskiego, przedstawiciele instytucji wdrażającej oraz potencjalni beneficjenci PROW.
</t>
    </r>
  </si>
  <si>
    <t>Do kosztów funkcjonowania zaliczono: wydatki związane z wynagrodzeniami pracowników, koszty delegacji, koszty administracyjne, zakup artykułów biurowych niezbędnych do funkcjonowania JR KSOW, itp.</t>
  </si>
  <si>
    <t>JR KSOW Województwa Pomorskiego</t>
  </si>
  <si>
    <t>załacznik nr 2</t>
  </si>
  <si>
    <t>1. Wydarzenia*</t>
  </si>
  <si>
    <r>
      <t>Komentarze</t>
    </r>
    <r>
      <rPr>
        <sz val="10"/>
        <rFont val="Calibri"/>
        <family val="2"/>
      </rPr>
      <t xml:space="preserve"> 
(proszę wskazać co jest rozumiane przez kategorię "inne")</t>
    </r>
  </si>
  <si>
    <r>
      <rPr>
        <b/>
        <sz val="10"/>
        <rFont val="Calibri"/>
        <family val="2"/>
      </rPr>
      <t>dot. poz</t>
    </r>
    <r>
      <rPr>
        <sz val="10"/>
        <rFont val="Calibri"/>
        <family val="2"/>
      </rPr>
      <t xml:space="preserve">. </t>
    </r>
    <r>
      <rPr>
        <b/>
        <sz val="10"/>
        <rFont val="Calibri"/>
        <family val="2"/>
      </rPr>
      <t>O16 z naciskiem na inne tematy, w tym;</t>
    </r>
  </si>
  <si>
    <t xml:space="preserve">1) promocję turystyki regionalnej </t>
  </si>
  <si>
    <t xml:space="preserve">2) promocję kultury polskiej wsi, zachowanie dziedzictwa kulturowego </t>
  </si>
  <si>
    <t>3) promocja Programu PROW 2014-2020</t>
  </si>
  <si>
    <t xml:space="preserve">dot. poz. F18 </t>
  </si>
  <si>
    <t>dot. poz. F19:</t>
  </si>
  <si>
    <t>1)  Agrotravel - stoisko promujace region Kaszub (2016) w ramacj realizacji operacji "Rekreacja i edukacja przyrodnicza na kaszubskiej wsi"</t>
  </si>
  <si>
    <t>1.2 Liczba uczestników wydarzeń*</t>
  </si>
  <si>
    <t>dot. poz. D31:</t>
  </si>
  <si>
    <t>1924 ilość uczestników wydarzeń, na których były prowadzone listy obecności (40)</t>
  </si>
  <si>
    <t>20260 ilości  uczestników wydarzeń plenerowych/wystaw/targów/itp. (9)</t>
  </si>
  <si>
    <t xml:space="preserve">* nie wykazano ilości uczestników konkursu (dane te wskazano w tab.2.4) </t>
  </si>
  <si>
    <r>
      <t xml:space="preserve">dot. poz. D42 i E42: </t>
    </r>
    <r>
      <rPr>
        <sz val="10"/>
        <rFont val="Calibri"/>
        <family val="2"/>
      </rPr>
      <t>wskazane dane dot. strony internetowej (dprow.pomorskie.eu) z powodu problemów z synchronizacją identyfikatora śledzenia i URL są zaniżone w stosunku do rzeczywistego poziomu liczby odwiedzin strony</t>
    </r>
  </si>
  <si>
    <r>
      <t>dot. poz. D43 i E43</t>
    </r>
    <r>
      <rPr>
        <sz val="10"/>
        <rFont val="Calibri"/>
        <family val="2"/>
      </rPr>
      <t xml:space="preserve"> - wskazane dane dot. strony internetowej -dprow.pomorskie.eu (dane dot. zakładki pomorskie strony ksow.pl wyniosły: liczba odwiedzin strony 4496, liczba unikalnych uzytkowników 3157)</t>
    </r>
  </si>
  <si>
    <t>dot.poz. E53:</t>
  </si>
  <si>
    <t>1) platforma elektroniczna powstała w ramach realizacji  projektu przez Partnera KSOW "Integracja działań na rzecz rozwoju obszarów wiejskich Pomorza"</t>
  </si>
  <si>
    <t>dot. poz. L64</t>
  </si>
  <si>
    <t>1) 3 publikacje promujące regiona pod względem turystycznym wydane w ramach operacji  "Rekreacja i edukacja przyrodnicza na kaszubskiej wsi"</t>
  </si>
  <si>
    <t>2) 1 publikacja dot. promocji kultury Kociewia wydana w ramach operacji "Kociewie na co dzień i od święta - rozwój aktywności społeczności lokalnej i organizacja lokalnej twórczości kulturalnej poprzez przeprowadzenie warsztatów regionalnych, organizację konkursu poezji i prozy kociewskiej dla dzieci i młodzieży oraz przegląd gadek i skeczy kociewskich pn. "Największa lipa w Lipiej Górze"</t>
  </si>
  <si>
    <t>3) 3 publikacja promujaca projekty realizowane w ramach PO 2016-2017 ("Integracja działań na rzecz rozwoju obszarów wiejskich Pomorza" x1; "Pomorska Wojewódzka Wystawa Zwierząt Hodowlanych - wystawa koni, owiec pokaz królików, gołębi, drobiu handlowego o ozdobnego" x2)</t>
  </si>
  <si>
    <t>dot. L65:</t>
  </si>
  <si>
    <t>1) publikacje promująca projekty realizowane w ramach PO 2016-2017 (2): katalog zwierząt wydany w ramach operacji "Kaszubska Jesień Rolnicza - Wystawa Zwierząt i Zawody w powożeniu zaprzęgami konnymi"; publikacja   prezentujaca przepisy kulinrne wydana w ramach operacji "Chmieleńskie Babki Wielkanocne";</t>
  </si>
  <si>
    <t>2) publikacja (1) promująca produkt z oznaczeniem ChOG wydana w ramamach operacji "II Festiwal Truskawek Kaszubskich" (1000 egz.)</t>
  </si>
  <si>
    <r>
      <t>Liczba innych narzędzi komunikacyjnych - proszę określić jakich w "</t>
    </r>
    <r>
      <rPr>
        <i/>
        <sz val="10"/>
        <rFont val="Calibri"/>
        <family val="2"/>
      </rPr>
      <t>Komentarzu"</t>
    </r>
  </si>
  <si>
    <t>dot. poz. D74: 
projekty własne: 624 spoty radiowe/emisje w 8 rozgłośniach regionalnych (8x78 spotów=624) w ramach wydarzenia – DOFE (ze środków KSOW sfinansowanych zostało 156 spotów), 
projekty Partnerów KSOW: 35 spotów w rozgłośni regionalnej  (operacja „Jarmark Rękodzieła Ziemi Człuchowskiej" )                                                                                                                                                                         dot. poz. D75: 
projekty własne: 130 spotów radiowych/emisji  w 8 rozgłośniach regionalnych w ramach wydarzenia DOFE, 60 spotów w rozgłośni regionalnej w  ramach wydarzenia Pomorskie Święto Produktu Tradycyjnego, 
projekty Partnerów KSOW: 14 spotów w rozgłośni regionalnej (operacja "Smaki i produkty lokalne Ziemi Człuchowskiej") 
dot. poz. E74: 
projekty własne: 1 x konkurs kulinarny  (Pomorskie Święto Produktu Tradycyjnego),  1x konkurs plastyczny dot. tematyki unijnej, 1 x konkurs związany z promocja obszarów wiejskich (konkurs "Piękna Wieś");
projekty Partnerów KSOW: 2 x konkurs kulinarny (operacje: "I Festiwal Truskawek Kaszubskich", "Słupskie Pokopki"), 1 x konkurs agroturystyczny (operacja "Konferencja agroturystyczna połączona z konkursem na najlepsze gospodarstwo agroturystyczne"), 2x konkursy związane z kulturą Pomorza  (operacja "Kociewie na co dzień i od święta …”, "XIII Turniej Kół Gospodyń Wiejskich Województwa Pomorskiego")
dot. poz. E75: 
projekty własne: 2 x konkurs kulinarny  (Pomorskie Święto Produktu tradycyjnego, Pomorska kuchnia regionalna – produkt tradycyjny – odkryjmy go na nowo!)
projekty Partnerów KSOW: 4x konkurs kulinarny  (operacja "II Festiwal Truskawek Kaszubskich", „Chmieleńskie Babki Wielkanocne”, „Smaki i produkty lokalne Ziemi Człuchowskiej”, „Powiatowe Święto Ziemniaka "Słupskie pokopki" ), 1 x konkurs w powożeniu koni  (operacja Kaszubska Jesień rolnicza….), 1x konkursy folklorystyczny  (operacja „Spotkania z dziedzictwem kulturowym Pomorza”), 1x konkurs dedykowany sołectwom (operacja „Aktywne Sołectwo” )
dot. poz. F74:                                                                                                                                                                                                                                                                                                                
 projekty własne:
1) kampania reklamowa w ramach wydarzenia DOFE:  w  prasie regionalnej (emisja 2 artykułów, nakład łączny 737 000 egz.),  w mediach społecznościowych (Facebook-kampania reklamowa związana z emisją 26 postów)
2) emisja artykułu prasowego dot. produktów tradycyjnych województwa pomorskiego zrealizowana w ramach projektu własnego ("Organizacja przedsięwzięć promujących fundusze unijne, agroturystykę, turystykę wiejską, produkt tradycyjny, lokalny, żywność wysokiej jakości") 
plan komunikacyjny 2016:  materiały promocyjne (300 szt.)                                                                                                                                                                                                         projekty partnerów KSOW:
1) kampania reklamowa w ramach operacji "Jarmark Rękodzieła Ziemi Człuchowskiej":  na portalu regionalnym (emisja ogłoszeń reklamowych na portalu regionalnym weekendfm.pl 30 emisji), w telewizji regionalnej (emisja plansz reklamowych w telewizji kablowej-30 emisji), w prasie (1 ogłoszenie, nakład gazety 2 900 egz.
dot. poz. F75:
projekty własne:
1) kampania reklamowa w ramach wydarzenia DOFE:  w prasie regionalnej (emisja 2 ogłoszeń, nakład łączny 832 000 egz.), w mediach społecznościowych (Facebook - kampania reklamowa związana z emisją 20 postów), materiały promocyjne (1000 szt. balonów, 1000 szt. chorągiewek, 1000 szt. wiatraczków); 
2) emisja artykułu prasowego w gazecie o zasięgu regionalnym dot.  relacji z zorganizowanego sympozjum (nakład 21 000 egz.);
3) kampania reklamowa Pomorskiego Święta Produktu Tradycyjnego w postaci reklamy elektronicznej, reklamy w mediach społecznościach (Facebook, 21 dni), materiały promocyjne (2000 szt. toreb papierowych, 100 szt. fartuchów, 200 szt. rękawic kuchennych, 200 szt. torby bawełniane, 100 szt. długopisy), plakaty 150 egz. 
plan komunikacyjny 2017: materiały promocyjne: 300 szt.,  powerbank, 1000 szt. teczek z gumką, 250 szt. toreb papierowych, 500 szt. worków materiałowych; 
projekty Partnerów KSOW:
1) kampania reklamowa operacji "Smaki i produkty lokalne Ziemi Człuchowskiej": reklama mobilna w Internecie (emisja ogłoszeń reklamowych 35,  ogłoszenie w prasie lokalnej - 1 ogłoszenie, nakład gazety 2 900 egz.)
2) kampania reklamowa operacji II Festiwal Truskawek Kaszubskich: plakaty 200 egz. 
3) kampania reklamowa operacji „Aktywizacja społeczna seniorów i osób do 35 roku życia”: plakaty 50 egz.
dot. poz. O74 z naciskiem na inne tematy, w tym: 
1) promocja Programu PROW  (DOFE)                                                                                                                                                                                                                                                                              2) promocja projektów relizowanych w ramach PO 2016-2017 ( "Jarmark Rękodzieła Ziemi Człuchowskiej")  
dot. poz. O75
1) promocja Programu</t>
  </si>
  <si>
    <r>
      <t>Komentarze</t>
    </r>
    <r>
      <rPr>
        <sz val="12"/>
        <rFont val="Calibri"/>
        <family val="2"/>
      </rPr>
      <t xml:space="preserve"> 
(</t>
    </r>
    <r>
      <rPr>
        <sz val="10"/>
        <rFont val="Calibri"/>
        <family val="2"/>
      </rPr>
      <t>proszę wskazać co jest rozumiane przez kategorię "inne")</t>
    </r>
  </si>
  <si>
    <t>dot. poz. E100 i F100:</t>
  </si>
  <si>
    <t>1) spotkania Pomorskiej Grupy Roboczej ds. KSOW (1x2016, 1x 2017)</t>
  </si>
  <si>
    <t>2) decyzje podejmowane  w obiegowym trybie (x6 w 2016, 8x w 2017)</t>
  </si>
  <si>
    <r>
      <t xml:space="preserve">dot. poz.  </t>
    </r>
    <r>
      <rPr>
        <b/>
        <sz val="10"/>
        <rFont val="Calibri"/>
        <family val="2"/>
        <scheme val="minor"/>
      </rPr>
      <t>M100</t>
    </r>
    <r>
      <rPr>
        <sz val="10"/>
        <rFont val="Calibri"/>
        <family val="2"/>
        <scheme val="minor"/>
      </rPr>
      <t xml:space="preserve"> i </t>
    </r>
    <r>
      <rPr>
        <b/>
        <sz val="10"/>
        <rFont val="Calibri"/>
        <family val="2"/>
        <scheme val="minor"/>
      </rPr>
      <t>M101</t>
    </r>
    <r>
      <rPr>
        <sz val="10"/>
        <rFont val="Calibri"/>
        <family val="2"/>
        <scheme val="minor"/>
      </rPr>
      <t xml:space="preserve"> z naciskiem na inne tematy, w tym:</t>
    </r>
  </si>
  <si>
    <t>1) dot. wdrażania  KSOW w ramach PROW 2014-2020</t>
  </si>
  <si>
    <r>
      <t xml:space="preserve">dot. poz.  D132  i D133:1)                                                                                                                                                                                                                                                                                       </t>
    </r>
    <r>
      <rPr>
        <sz val="10"/>
        <rFont val="Calibri"/>
        <family val="2"/>
      </rPr>
      <t xml:space="preserve"> ilość osób bioracych udział w spotkaniach PGR ds.KSOW lub wyrażajacych opinie w ramach przeprowadzonych trybach obiegowych</t>
    </r>
  </si>
  <si>
    <r>
      <rPr>
        <b/>
        <sz val="12"/>
        <rFont val="Calibri"/>
        <family val="2"/>
        <charset val="238"/>
        <scheme val="minor"/>
      </rPr>
      <t>Komentarze</t>
    </r>
    <r>
      <rPr>
        <sz val="10"/>
        <rFont val="Calibri"/>
        <family val="2"/>
        <charset val="238"/>
        <scheme val="minor"/>
      </rPr>
      <t xml:space="preserve"> 
(proszę wskazać co jest rozumiane przez kategorię "inne")</t>
    </r>
  </si>
  <si>
    <r>
      <t xml:space="preserve">Komentarze 
</t>
    </r>
    <r>
      <rPr>
        <sz val="10"/>
        <rFont val="Calibri"/>
        <family val="2"/>
      </rPr>
      <t>(proszę wskazać co jest rozumiane przez kategorię "inne")</t>
    </r>
  </si>
  <si>
    <t xml:space="preserve">dot. poz. E180:                                                                                                                                                                                                                                                                                                                                1) wizyta studyjna do woj.kujawsko-pomorskiego w ramach operacji "Aktywne sołectwa na start" dot. poz. E181:
1) wizyta studyjna do Międzynarodowego Rezerwatu Biosfery „Karpaty Wschodnie”  w ramach operacji  „Lokalne Grupy Działania na rzecz zrównoważonego rozwoju”
dot. poz. F180:                                                                                                                                                                                                                                                                                                                           1) wizyta studyjna do do woj. małopolskiego połączona z warsztatami (operacja: "Wyjazd studyjno-szkoleniowy "Dobre praktyki współpracy na rzecz wiejskiego produktu turystycznego na przykładzie województwa małopolskiego") 
dot. poz. O180:  
1) promocja kultury 
2)promocja Programu 
dot. poz. O181:
1) promocja Programu
dot. poz. H180:                                                                                                                                                                                                                                                                                                                 1) w przypadku 2 warsztatów wykazanych w poz. D180 nie było możliwości określenia "całkowitej liczby dni szkoleniowych" - warsztaty obejmowały 20 spotkań około godzinnych w różnych cyklach organizacyjnych (np.. 1, 2, 3… spotkania dziennie), zatem liczbę spotkań potraktowano jako liczbę dni (kwestia ta dotyczyła operacji  "Kociewie na co dzień i od święta…)
dot. poz. H181: 
1) w przypadku 1 warsztatów wykazanych w poz. D181 nie było możliwości określenia "całkowitej liczby dni szkoleniowych" - warsztaty obejmowały 14 spotkań w różnych cyklach organizacyjnych (np.. 1, 2…spotkania dziennie), zatem liczbę spotkań potraktowano jako liczbę dni (kwestia ta dotyczyła operacji  "Aktywni przez @- międzypokoleniowe podnoszenie kompetencji cyfrowych")
</t>
  </si>
  <si>
    <t>dot. poz. L191:</t>
  </si>
  <si>
    <t>1) beneficjenci i potencjalni beneficjenci PROW 2014-2020 (286)</t>
  </si>
  <si>
    <t>2) uczestnicy szkoleń/warsztatów /wyjazdów studyjnych realizowanych przez Partnerów KSOW  w ramach projektów PO 2016-2017 w tym m.in.. Rolnicy, przedisebiorcy z obszarów wiejskich, przedstwiciele podmiotów wspierajacych rozwój obszarów wiejskich, właściciele gospodarstw agroturystycnych, mieszkańcy obszarów wiejskich, soltysi i liderzy wiejscy, dzieci z obszarów wiejskich</t>
  </si>
  <si>
    <t>dot. poz. L 192:</t>
  </si>
  <si>
    <t xml:space="preserve">1) beneficjenci i potencjalni beneficjenci PROW 2014-2020 </t>
  </si>
  <si>
    <t>2) uczestnicy szkoleń/warsztatów  realizowanych przez Partnerów KSOW  w ramach projektów PO 2016-2017 w tym m.in. rolnicy, przedsiebiorcy z obszarów wiejskich, przedstwiciele podmiotów wspierajacych rozwój obszarów wiejskich, właściciele gospodarstw agroturystycnych, mieszkańcy obszarów wiejskich, sołtysi i liderzy wiejscy, dzieci z obszarów wiejskich, przedstwieciele jst.</t>
  </si>
  <si>
    <r>
      <rPr>
        <b/>
        <sz val="12"/>
        <rFont val="Calibri"/>
        <family val="2"/>
      </rPr>
      <t xml:space="preserve">Komentarze </t>
    </r>
    <r>
      <rPr>
        <sz val="10"/>
        <rFont val="Calibri"/>
        <family val="2"/>
      </rPr>
      <t>(proszę wskazać także inne kategorie)</t>
    </r>
  </si>
  <si>
    <r>
      <rPr>
        <b/>
        <sz val="11"/>
        <rFont val="Calibri"/>
        <family val="2"/>
        <scheme val="minor"/>
      </rPr>
      <t>poz. E213 i F213:</t>
    </r>
    <r>
      <rPr>
        <sz val="11"/>
        <rFont val="Calibri"/>
        <family val="2"/>
        <scheme val="minor"/>
      </rPr>
      <t xml:space="preserve"> łączna suma wydatków poniesionych w ramach realizacji planów operacycjnych (w tym również planów komunikacycjnych) odpowiednio dla 2016 roku i 2017  roku</t>
    </r>
  </si>
  <si>
    <t>wskazana pozycja obejmuje tylko część kosztów poniesionych na działania promocyjne (tylko te możliwe do zidentyfikowania), pozstała część kosztów została wykazana w poz. F214 (koszty dot. w ramach tab. 1)</t>
  </si>
  <si>
    <t>[Jednostaka Regionalna KSOW w województwie śląskim]</t>
  </si>
  <si>
    <r>
      <rPr>
        <b/>
        <u/>
        <sz val="12"/>
        <color rgb="FF000000"/>
        <rFont val="Calibri"/>
        <family val="2"/>
        <charset val="238"/>
      </rPr>
      <t xml:space="preserve">Cel i kontekst Wspólnej </t>
    </r>
    <r>
      <rPr>
        <b/>
        <u/>
        <sz val="12"/>
        <color rgb="FF000000"/>
        <rFont val="Calibri"/>
        <family val="2"/>
        <charset val="238"/>
      </rPr>
      <t>Statystyki Sieci</t>
    </r>
    <r>
      <rPr>
        <b/>
        <u/>
        <sz val="12"/>
        <color rgb="FF000000"/>
        <rFont val="Calibri"/>
        <family val="2"/>
        <charset val="238"/>
      </rPr>
      <t xml:space="preserve">
</t>
    </r>
    <r>
      <rPr>
        <sz val="12"/>
        <color rgb="FF000000"/>
        <rFont val="Calibri"/>
        <family val="2"/>
        <charset val="238"/>
      </rPr>
      <t xml:space="preserve">Wspólna Statystyka Sieci została opracowana przez Punkt Kontaktowy ENRD we współpracy z jednostkami wspierającymi sieci w Państwach Członkowskich UE w celu uzyskania całościowego obrazu dokonań KSOW. Informacja ta zostanie wykorzystana do podsumowania i oceny działań sieci, a także umożliwi porównywanie sieci w różnych krajach UE.
</t>
    </r>
    <r>
      <rPr>
        <b/>
        <u/>
        <sz val="12"/>
        <color rgb="FF000000"/>
        <rFont val="Calibri"/>
        <family val="2"/>
        <charset val="238"/>
      </rPr>
      <t xml:space="preserve">Powiązania między Wspólną </t>
    </r>
    <r>
      <rPr>
        <b/>
        <u/>
        <sz val="12"/>
        <color rgb="FF000000"/>
        <rFont val="Calibri"/>
        <family val="2"/>
        <charset val="238"/>
      </rPr>
      <t xml:space="preserve">Statystyką Sieci i </t>
    </r>
    <r>
      <rPr>
        <b/>
        <u/>
        <sz val="12"/>
        <color rgb="FF000000"/>
        <rFont val="Calibri"/>
        <family val="2"/>
        <charset val="238"/>
      </rPr>
      <t xml:space="preserve">obligatoryjnymi wskaźnikami </t>
    </r>
    <r>
      <rPr>
        <b/>
        <u/>
        <sz val="12"/>
        <color rgb="FF000000"/>
        <rFont val="Calibri"/>
        <family val="2"/>
        <charset val="238"/>
      </rPr>
      <t xml:space="preserve">monitorowania określonymi w </t>
    </r>
    <r>
      <rPr>
        <b/>
        <u/>
        <sz val="12"/>
        <color rgb="FF000000"/>
        <rFont val="Calibri"/>
        <family val="2"/>
        <charset val="238"/>
      </rPr>
      <t xml:space="preserve">rozporządzeniu wykonawczym </t>
    </r>
    <r>
      <rPr>
        <b/>
        <u/>
        <sz val="12"/>
        <color rgb="FF000000"/>
        <rFont val="Calibri"/>
        <family val="2"/>
        <charset val="238"/>
      </rPr>
      <t>KE (UE) nr 808/2014</t>
    </r>
    <r>
      <rPr>
        <b/>
        <u/>
        <sz val="12"/>
        <color rgb="FF000000"/>
        <rFont val="Calibri"/>
        <family val="2"/>
        <charset val="238"/>
      </rPr>
      <t xml:space="preserve">
</t>
    </r>
    <r>
      <rPr>
        <sz val="12"/>
        <color rgb="FF000000"/>
        <rFont val="Calibri"/>
        <family val="2"/>
        <charset val="238"/>
      </rPr>
      <t xml:space="preserve">Celem Wspólnej Statystyki Sieci jest ułatwienie zbierania danych do obligatoryjnych wskaźników. Wszystkie podmioty zaangażowane w realizację zadań sieci wypełniają tylko arkusz </t>
    </r>
    <r>
      <rPr>
        <i/>
        <sz val="12"/>
        <color rgb="FF000000"/>
        <rFont val="Calibri"/>
        <family val="2"/>
        <charset val="238"/>
      </rPr>
      <t>"Wspólna Statystyka Sieci".</t>
    </r>
    <r>
      <rPr>
        <i/>
        <sz val="12"/>
        <color rgb="FF000000"/>
        <rFont val="Calibri"/>
        <family val="2"/>
        <charset val="238"/>
      </rPr>
      <t xml:space="preserve">
</t>
    </r>
    <r>
      <rPr>
        <sz val="12"/>
        <color rgb="FF000000"/>
        <rFont val="Calibri"/>
        <family val="2"/>
        <charset val="238"/>
      </rPr>
      <t xml:space="preserve">
</t>
    </r>
    <r>
      <rPr>
        <b/>
        <u/>
        <sz val="12"/>
        <color rgb="FF000000"/>
        <rFont val="Calibri"/>
        <family val="2"/>
        <charset val="238"/>
      </rPr>
      <t xml:space="preserve">Definicje i wytyczne do </t>
    </r>
    <r>
      <rPr>
        <b/>
        <u/>
        <sz val="12"/>
        <color rgb="FF000000"/>
        <rFont val="Calibri"/>
        <family val="2"/>
        <charset val="238"/>
      </rPr>
      <t>poszczególnych wskaźników</t>
    </r>
    <r>
      <rPr>
        <b/>
        <u/>
        <sz val="12"/>
        <color rgb="FF000000"/>
        <rFont val="Calibri"/>
        <family val="2"/>
        <charset val="238"/>
      </rPr>
      <t xml:space="preserve">
</t>
    </r>
    <r>
      <rPr>
        <sz val="12"/>
        <color rgb="FF000000"/>
        <rFont val="Calibri"/>
        <family val="2"/>
        <charset val="238"/>
      </rPr>
      <t>W opisie poszczególnych wskaźników/mierników znajdują się wytyczne dla każdego wskaźnika. W sytuacji, kiedy wytyczne nie są jasne albo mierniki/wskaźniki nie są możliwe do uzupełnienia - prosimy wypełnić rubrykę "K</t>
    </r>
    <r>
      <rPr>
        <i/>
        <sz val="12"/>
        <color rgb="FF000000"/>
        <rFont val="Calibri"/>
        <family val="2"/>
        <charset val="238"/>
      </rPr>
      <t>omentarze"</t>
    </r>
    <r>
      <rPr>
        <sz val="12"/>
        <color rgb="FF000000"/>
        <rFont val="Calibri"/>
        <family val="2"/>
        <charset val="238"/>
      </rPr>
      <t xml:space="preserve">.
 Zakres tematyczny został powiązany z priorytetami PROW 2014-2020.
</t>
    </r>
    <r>
      <rPr>
        <b/>
        <u/>
        <sz val="12"/>
        <color rgb="FF000000"/>
        <rFont val="Calibri"/>
        <family val="2"/>
        <charset val="238"/>
      </rPr>
      <t>Udział w budżecie</t>
    </r>
    <r>
      <rPr>
        <b/>
        <u/>
        <sz val="12"/>
        <color rgb="FF000000"/>
        <rFont val="Calibri"/>
        <family val="2"/>
        <charset val="238"/>
      </rPr>
      <t xml:space="preserve">
</t>
    </r>
    <r>
      <rPr>
        <sz val="12"/>
        <color rgb="FF000000"/>
        <rFont val="Calibri"/>
        <family val="2"/>
        <charset val="238"/>
      </rPr>
      <t>Szacowany podział budżetu (Tabela 8) ma na celu dostarczenie informacji jak proporcjonalnie środki</t>
    </r>
    <r>
      <rPr>
        <b/>
        <sz val="12"/>
        <color rgb="FF000000"/>
        <rFont val="Calibri"/>
        <family val="2"/>
        <charset val="238"/>
      </rPr>
      <t xml:space="preserve"> </t>
    </r>
    <r>
      <rPr>
        <sz val="12"/>
        <color rgb="FF000000"/>
        <rFont val="Calibri"/>
        <family val="2"/>
        <charset val="238"/>
      </rPr>
      <t xml:space="preserve">rocznego budżetu sieci zostały przeznaczone na odpowiednie działania objęte wskaźnikami. Proszę podaj budzet dla poszczególnych kategorii i wskaż trudności w komentarzu.
</t>
    </r>
  </si>
  <si>
    <r>
      <t>Komentarze</t>
    </r>
    <r>
      <rPr>
        <sz val="10"/>
        <color rgb="FF000000"/>
        <rFont val="Calibri"/>
        <family val="2"/>
        <charset val="238"/>
      </rPr>
      <t xml:space="preserve">
(proszę wskazać co jest rozumiane </t>
    </r>
    <r>
      <rPr>
        <sz val="10"/>
        <color rgb="FF000000"/>
        <rFont val="Calibri"/>
        <family val="2"/>
        <charset val="238"/>
      </rPr>
      <t>przez kategorię "inne")</t>
    </r>
  </si>
  <si>
    <t>z naciskiem na LEADER/RLKS i LGD (włączając współpracę) (P6)</t>
  </si>
  <si>
    <r>
      <rPr>
        <u/>
        <sz val="10"/>
        <rFont val="Calibri"/>
        <family val="2"/>
        <charset val="238"/>
      </rPr>
      <t>1. ROK  2015:</t>
    </r>
    <r>
      <rPr>
        <sz val="10"/>
        <rFont val="Calibri"/>
        <family val="2"/>
        <charset val="238"/>
      </rPr>
      <t xml:space="preserve"> Wydarzenia wskazane w kolumnie Inne lub mieszane dotyczą: Priorytetów 6 oraz Priorytetu 1.                                                                                                                               </t>
    </r>
    <r>
      <rPr>
        <u/>
        <sz val="10"/>
        <rFont val="Calibri"/>
        <family val="2"/>
        <charset val="238"/>
      </rPr>
      <t>2. ROK 2016:</t>
    </r>
    <r>
      <rPr>
        <sz val="10"/>
        <rFont val="Calibri"/>
        <family val="2"/>
        <charset val="238"/>
      </rPr>
      <t xml:space="preserve"> W kolumnie Inne lub mieszane uwzględniono operacja kładące nacisk na szeroko rozumiane zachowanie i ochronę dziedzictwa kulturowego (P6) a także takie operacje  jak konkurs fotograficzny, konkurs "Zadbajmy o wodę na wsi", targi AGROTRAVEL, targi Atrakcje Regionów oraz Forum Sołtysów Województwa Śląskiego.                                                                                                                                                                                                                                                                                                                                      </t>
    </r>
    <r>
      <rPr>
        <u/>
        <sz val="10"/>
        <rFont val="Calibri"/>
        <family val="2"/>
        <charset val="238"/>
      </rPr>
      <t xml:space="preserve">Wydarzenia krajowe: </t>
    </r>
    <r>
      <rPr>
        <sz val="10"/>
        <rFont val="Calibri"/>
        <family val="2"/>
        <charset val="238"/>
      </rPr>
      <t xml:space="preserve">
- Udział w Targach Turystyki Weekendowej "Atrakcje Regionów" – 40 000 osób,
- Dożynki Jasnogórskie połączone z Jubileuszem 150-lecia Kół Gospodyń Wiejskich – 50 000 osób.
</t>
    </r>
    <r>
      <rPr>
        <u/>
        <sz val="10"/>
        <rFont val="Calibri"/>
        <family val="2"/>
        <charset val="238"/>
      </rPr>
      <t xml:space="preserve">Wydarzenia międzynarodowe: </t>
    </r>
    <r>
      <rPr>
        <sz val="10"/>
        <rFont val="Calibri"/>
        <family val="2"/>
        <charset val="238"/>
      </rPr>
      <t xml:space="preserve">
- Udział w VIII Międzynarodowych Targach Turystyki Wiejskiej  i Agroturystyki AGROTRAVEL 2016 – 20 000 osób; 
- Festiwal Kultury Polskiej i Żydowskiej „XIV Święto Ciulimu-Czulentu” Lelowskie Spotkanie Kultur – 10 000 osób;
</t>
    </r>
    <r>
      <rPr>
        <u/>
        <sz val="10"/>
        <rFont val="Calibri"/>
        <family val="2"/>
        <charset val="238"/>
      </rPr>
      <t>3. ROK 2017:</t>
    </r>
    <r>
      <rPr>
        <sz val="10"/>
        <rFont val="Calibri"/>
        <family val="2"/>
        <charset val="238"/>
      </rPr>
      <t xml:space="preserve">
Wydarzenia krajowe:                                                                                                                                                                                                                                                                                                                                                                                                                                       - Udział w Targach Turystyki Weekendowej ATRAKCJE REGIONÓW - 15 000 osób                                                                                                                                                                                                                - Udział w XXVII Gliwickim Kiermaszu Żywności Ekologicznej i Tradycyjnej - Natura, zdrowie, kultura - 2 000 osób;                                                                                                                                 Wydarzenia międzynarodowe:                                                                                                                                                                                                                                                                                                                     - Festiwal kultury Polskiej i Żydowskiej "XV Święto Ciulimu-Czulentu" - 12 000 osób.                                                                                                                                                                                       Wydarzenia lokalne/regionalne:   15-lecie odnowy wsi w województwie śląskim - doświadczenia i perspektywy, Mieszkańcy aktywnie w loklnej inicjatywie. Dożynki gminne, Babcia gotuje wnuczka smakuje - festiwal kuchni, Jurajskie święto plonów - promocja kultury i turystyki, Rolniczy handel detaliczy szansą dla małych gospodarstw rolnych, Forum Sołtysów Województwa Śląskiego, Konferencja nt. stanu wdrażania PROW                                                                                                                                                                                                                                                                     
</t>
    </r>
  </si>
  <si>
    <r>
      <rPr>
        <u/>
        <sz val="10"/>
        <color rgb="FF000000"/>
        <rFont val="Calibri"/>
        <family val="2"/>
        <charset val="238"/>
      </rPr>
      <t>1. ROK 2015</t>
    </r>
    <r>
      <rPr>
        <sz val="10"/>
        <color rgb="FF000000"/>
        <rFont val="Calibri"/>
        <family val="2"/>
        <charset val="238"/>
      </rPr>
      <t xml:space="preserve">:Liczbę uczestników określono na podstawie posiadanych list obecności (dot. spartakiady-210 osób, konferencji-274 osób) oraz na podstawie informacji uzyskanych od Partnerów KSOW organizujących dane wydarzenie (dot. m.in. imprez plenerowych-500 osób, które są imprezami o charakterze otwartym  a liczba odwiedzających jest szacunkowa).                                                                                                                                                                                                                                                                                                                                                                                                                    </t>
    </r>
    <r>
      <rPr>
        <u/>
        <sz val="10"/>
        <color rgb="FF000000"/>
        <rFont val="Calibri"/>
        <family val="2"/>
        <charset val="238"/>
      </rPr>
      <t xml:space="preserve">2. ROK 2016: </t>
    </r>
    <r>
      <rPr>
        <sz val="10"/>
        <color rgb="FF000000"/>
        <rFont val="Calibri"/>
        <family val="2"/>
        <charset val="238"/>
      </rPr>
      <t xml:space="preserve">Liczbę uczestników określono na podstawie posiadanych list obecności (dot. spotkania-60 osób, konferencji- 378 osób, spartakiady-200 osób) oraz na podstawie informacji uzyskanych od Partnerów KSOW organizujących dane wydarzenie (dot. m.in. imprez plenerowych-20 962 osób, przeglądów-450 osób, targów-60 000 osób, dożynek-50 000 osób, które są imprezami o charakterze otwartym  a liczba odwiedzających jest szacunkowa).                                                                                                                                                                                                                </t>
    </r>
    <r>
      <rPr>
        <u/>
        <sz val="10"/>
        <color rgb="FF000000"/>
        <rFont val="Calibri"/>
        <family val="2"/>
        <charset val="238"/>
      </rPr>
      <t xml:space="preserve">                                                                                                                                   Wydarzenia krajowe: </t>
    </r>
    <r>
      <rPr>
        <sz val="10"/>
        <color rgb="FF000000"/>
        <rFont val="Calibri"/>
        <family val="2"/>
        <charset val="238"/>
      </rPr>
      <t xml:space="preserve">
- Udział w Targach Turystyki Weekendowej "Atrakcje Regionów" – 40 000 osób,
- Dożynki Jasnogórskie połączone z Jubileuszem 150-lecia Kół Gospodyń Wiejskich – 50 000 osób.
</t>
    </r>
    <r>
      <rPr>
        <u/>
        <sz val="10"/>
        <color rgb="FF000000"/>
        <rFont val="Calibri"/>
        <family val="2"/>
        <charset val="238"/>
      </rPr>
      <t xml:space="preserve">Wydarzenia międzynarodowe: </t>
    </r>
    <r>
      <rPr>
        <sz val="10"/>
        <color rgb="FF000000"/>
        <rFont val="Calibri"/>
        <family val="2"/>
        <charset val="238"/>
      </rPr>
      <t xml:space="preserve">
- Udział w VIII Międzynarodowych Targach Turystyki Wiejskiej  i Agroturystyki AGROTRAVEL 2016 – 20 000 osób; 
- Festiwal Kultury Polskiej i Żydowskiej „XIV Święto Ciulimu-Czulentu” Lelowskie Spotkanie Kultur – 10 000 osób;
</t>
    </r>
    <r>
      <rPr>
        <u/>
        <sz val="10"/>
        <color rgb="FF000000"/>
        <rFont val="Calibri"/>
        <family val="2"/>
        <charset val="238"/>
      </rPr>
      <t>3. ROK 2017:</t>
    </r>
    <r>
      <rPr>
        <sz val="10"/>
        <color rgb="FF000000"/>
        <rFont val="Calibri"/>
        <family val="2"/>
        <charset val="238"/>
      </rPr>
      <t xml:space="preserve">
Wydarzenia krajowe:                                                                                                                                                                                                                                                                                                                                                                                                                                       - Udział w Targach Turystyki Weekendowej ATRAKCJE REGIONÓW - 15 000 osób (Dane dotyczące liczby osób wizytujących targi pochodzi ze strony organizatora www.atrakcje-regionow.pl).                                                                                                                                                                                                                                                                                                                           -  Udział w XXVII Gliwickim Kiermaszu Żywności Ekologicznej i Tradycyjnej - Natura, zdrowie, kultura - 2 000 osób;                                                                                                                                 Wydarzenia międzynarodowe:                                                                                                                                                                                                                                                                                                                     - Festiwal kultury Polskiej i Żydowskiej "XV Święto Ciulimu-Czulentu" - 12 000 osób,                                                                                                                                                                                                Wydarzenia o zasięgu lokalnym/regionalnym - Liczbę określono na podstawie list obecności (dot. konferencji/forum - 560 osób) oraz na podstawie danych otzrymanych od Partnera KSOW organizującego dane wydarzenie ( dot. impreza plenerowa - 3 290 osób)                         
                              </t>
    </r>
  </si>
  <si>
    <r>
      <rPr>
        <u/>
        <sz val="10"/>
        <color rgb="FF000000"/>
        <rFont val="Calibri"/>
        <family val="2"/>
        <charset val="238"/>
      </rPr>
      <t xml:space="preserve">1. ROK 2015: </t>
    </r>
    <r>
      <rPr>
        <sz val="10"/>
        <color rgb="FF000000"/>
        <rFont val="Calibri"/>
        <family val="2"/>
        <charset val="238"/>
      </rPr>
      <t xml:space="preserve">Dane dotyczą strony internetowej KSOW.                                                                                                                                                                                                                                                                                                                                                                              </t>
    </r>
    <r>
      <rPr>
        <u/>
        <sz val="10"/>
        <color rgb="FF000000"/>
        <rFont val="Calibri"/>
        <family val="2"/>
        <charset val="238"/>
      </rPr>
      <t>2. ROK 2016:</t>
    </r>
    <r>
      <rPr>
        <sz val="10"/>
        <color rgb="FF000000"/>
        <rFont val="Calibri"/>
        <family val="2"/>
        <charset val="238"/>
      </rPr>
      <t xml:space="preserve"> Dane wskazane w niniejszej tabeli dotyczą statystyki strony KSOW województwa śląskiego administrowanej przez Jednostkę Centralną KSOW oraz statystyki strony PROW 2014-2020. Dane statystyczne strony PROW 2014-2020 dotyczą okresu 23.05 - 31.12.2016 r. z uwagi na to, że do tego czasu strona była w budowie i nie było możliwości zebrania tych danych.                                                                                                                                              </t>
    </r>
    <r>
      <rPr>
        <u/>
        <sz val="10"/>
        <color rgb="FF000000"/>
        <rFont val="Calibri"/>
        <family val="2"/>
        <charset val="238"/>
      </rPr>
      <t>3. ROK 2017:</t>
    </r>
    <r>
      <rPr>
        <sz val="10"/>
        <color rgb="FF000000"/>
        <rFont val="Calibri"/>
        <family val="2"/>
        <charset val="238"/>
      </rPr>
      <t xml:space="preserve"> Dane wskazane w niniejszej tabeli dotyczą statystyki strony KSOW województwa śląskiego administrowanej przez Jednostkę Centralną KSOW oraz statystyki strony PROW 2014-2020.</t>
    </r>
  </si>
  <si>
    <r>
      <rPr>
        <u/>
        <sz val="10"/>
        <color rgb="FF000000"/>
        <rFont val="Calibri"/>
        <family val="2"/>
        <charset val="238"/>
      </rPr>
      <t xml:space="preserve">1. ROK 2015: </t>
    </r>
    <r>
      <rPr>
        <sz val="10"/>
        <color rgb="FF000000"/>
        <rFont val="Calibri"/>
        <family val="2"/>
        <charset val="238"/>
      </rPr>
      <t>Publikacje wykazane w kolumnie</t>
    </r>
    <r>
      <rPr>
        <i/>
        <sz val="10"/>
        <color rgb="FF000000"/>
        <rFont val="Calibri"/>
        <family val="2"/>
        <charset val="238"/>
      </rPr>
      <t xml:space="preserve"> Inne lub mieszane</t>
    </r>
    <r>
      <rPr>
        <sz val="10"/>
        <color rgb="FF000000"/>
        <rFont val="Calibri"/>
        <family val="2"/>
        <charset val="238"/>
      </rPr>
      <t xml:space="preserve">: 1. Książka kucharska z potrawami lokalnymi, 2.  Folder promujący lokalną przedsiębiorczość 3.  Folder promocyjny promujący konferencję pn. "Śląska wieś - rozwój przedsiębiorczości" oraz Gminy Strumień.                                                                                                                                                                                         </t>
    </r>
    <r>
      <rPr>
        <u/>
        <sz val="10"/>
        <color rgb="FF000000"/>
        <rFont val="Calibri"/>
        <family val="2"/>
        <charset val="238"/>
      </rPr>
      <t>2. ROK 2016:</t>
    </r>
    <r>
      <rPr>
        <sz val="10"/>
        <color rgb="FF000000"/>
        <rFont val="Calibri"/>
        <family val="2"/>
        <charset val="238"/>
      </rPr>
      <t xml:space="preserve"> W kolumnie</t>
    </r>
    <r>
      <rPr>
        <i/>
        <sz val="10"/>
        <color rgb="FF000000"/>
        <rFont val="Calibri"/>
        <family val="2"/>
        <charset val="238"/>
      </rPr>
      <t xml:space="preserve"> Inne lub mieszane</t>
    </r>
    <r>
      <rPr>
        <sz val="10"/>
        <color rgb="FF000000"/>
        <rFont val="Calibri"/>
        <family val="2"/>
        <charset val="238"/>
      </rPr>
      <t xml:space="preserve"> uwzględniono następujące publikacje: biuletyn "Wyniki 2015. Porejestrowe Doświadczalnictwo Odmianowe w Województwie Śląskim w roku 2015";  broszurę informacyjną "Lista Zalecanych Odmian do upraw w województwie śląskim na rok 2016"; publikację książkową pt. ”Gmina Gorzyce - MIEJSCA LUDZIE WYDARZENIA”, publikację poplenerową pt. "Gmina Świerklany w malarstwie" oraz publikację pt.  "Kulinarne tradycje w Gminie świerklany".                                                                                                                                                                      </t>
    </r>
    <r>
      <rPr>
        <u/>
        <sz val="10"/>
        <color rgb="FF000000"/>
        <rFont val="Calibri"/>
        <family val="2"/>
        <charset val="238"/>
      </rPr>
      <t xml:space="preserve">3. ROK 2017: </t>
    </r>
    <r>
      <rPr>
        <sz val="10"/>
        <color rgb="FF000000"/>
        <rFont val="Calibri"/>
        <family val="2"/>
        <charset val="238"/>
      </rPr>
      <t xml:space="preserve">W kolumnie Inne lub mieszane uwzględniono folder informacyjny "Być przedsiębiorczym na śląskiej wsi". </t>
    </r>
  </si>
  <si>
    <t>Liczba konkursów/ kategorii konkursowych</t>
  </si>
  <si>
    <r>
      <t>Liczba innych narzędzi komunikacyjnych - proszę określić jakich w "</t>
    </r>
    <r>
      <rPr>
        <i/>
        <sz val="10"/>
        <color rgb="FF000000"/>
        <rFont val="Calibri"/>
        <family val="2"/>
        <charset val="238"/>
      </rPr>
      <t>Komentarzu"</t>
    </r>
  </si>
  <si>
    <r>
      <rPr>
        <u/>
        <sz val="10"/>
        <color rgb="FF000000"/>
        <rFont val="Calibri"/>
        <family val="2"/>
        <charset val="238"/>
      </rPr>
      <t>1. ROK 2015</t>
    </r>
    <r>
      <rPr>
        <sz val="10"/>
        <color rgb="FF000000"/>
        <rFont val="Calibri"/>
        <family val="2"/>
        <charset val="238"/>
      </rPr>
      <t>: W</t>
    </r>
    <r>
      <rPr>
        <i/>
        <sz val="10"/>
        <color rgb="FF000000"/>
        <rFont val="Calibri"/>
        <family val="2"/>
        <charset val="238"/>
      </rPr>
      <t xml:space="preserve"> </t>
    </r>
    <r>
      <rPr>
        <sz val="10"/>
        <color rgb="FF000000"/>
        <rFont val="Calibri"/>
        <family val="2"/>
        <charset val="238"/>
      </rPr>
      <t>kolumnie</t>
    </r>
    <r>
      <rPr>
        <i/>
        <sz val="10"/>
        <color rgb="FF000000"/>
        <rFont val="Calibri"/>
        <family val="2"/>
        <charset val="238"/>
      </rPr>
      <t xml:space="preserve"> Liczba innych narzędzi komunikacyjnych</t>
    </r>
    <r>
      <rPr>
        <sz val="10"/>
        <color rgb="FF000000"/>
        <rFont val="Calibri"/>
        <family val="2"/>
        <charset val="238"/>
      </rPr>
      <t xml:space="preserve"> oraz w </t>
    </r>
    <r>
      <rPr>
        <i/>
        <sz val="10"/>
        <color rgb="FF000000"/>
        <rFont val="Calibri"/>
        <family val="2"/>
        <charset val="238"/>
      </rPr>
      <t>kolumnie Inne lub mieszane</t>
    </r>
    <r>
      <rPr>
        <sz val="10"/>
        <color rgb="FF000000"/>
        <rFont val="Calibri"/>
        <family val="2"/>
        <charset val="238"/>
      </rPr>
      <t xml:space="preserve"> wykazano informację radiową dotycząca operacji realizowanej w ramach Planu operacyjnego 2014-2015 KSOW pn. Mszańskie smaki jesieni oraz 8 ogłoszeń prasowych (3 ogłoszenia dotyczące realizacji operacji przez Gminę Strumień oraz 5 ogłoszeń dotyczących działań PROW 2014-2020.                                                                                                                                                                                                                                                                                                                                                                                                                                                                      </t>
    </r>
    <r>
      <rPr>
        <u/>
        <sz val="10"/>
        <color rgb="FF000000"/>
        <rFont val="Calibri"/>
        <family val="2"/>
        <charset val="238"/>
      </rPr>
      <t>2. ROK 2016:</t>
    </r>
    <r>
      <rPr>
        <sz val="10"/>
        <color rgb="FF000000"/>
        <rFont val="Calibri"/>
        <family val="2"/>
        <charset val="238"/>
      </rPr>
      <t xml:space="preserve"> W kolumnie</t>
    </r>
    <r>
      <rPr>
        <i/>
        <sz val="10"/>
        <color rgb="FF000000"/>
        <rFont val="Calibri"/>
        <family val="2"/>
        <charset val="238"/>
      </rPr>
      <t xml:space="preserve"> Liczba innych narzędzi komunikacyjnych</t>
    </r>
    <r>
      <rPr>
        <sz val="10"/>
        <color rgb="FF000000"/>
        <rFont val="Calibri"/>
        <family val="2"/>
        <charset val="238"/>
      </rPr>
      <t xml:space="preserve"> wykazano informację radiową dotycząca operacji realizowanej w ramach Planu operacyjnego 2016-2017 KSOW pn. Barwy kultury i mozaika tradycji - promocja zrównoważonego rozwoju w Gminie Świerklany.                                                                                                                                                                                                         W kolumnie </t>
    </r>
    <r>
      <rPr>
        <i/>
        <sz val="10"/>
        <color rgb="FF000000"/>
        <rFont val="Calibri"/>
        <family val="2"/>
        <charset val="238"/>
      </rPr>
      <t>Inne lub mieszane</t>
    </r>
    <r>
      <rPr>
        <sz val="10"/>
        <color rgb="FF000000"/>
        <rFont val="Calibri"/>
        <family val="2"/>
        <charset val="238"/>
      </rPr>
      <t xml:space="preserve"> wykazano informację radiową dotycząca operacji pn. Barwy kultury i mozaika tradycji - promocja zrównoważonego rozwoju w Gminie Świerklany oraz dwa konkursy zorganizowane/współorganizowane przez JR KSOW. Oba konkursy zakończyły się uroczystym podsumowaniem w postaci konferencji dlatego w tabeli 1. Wydarzenia wykazano 2 konferencje).                                                                                                 </t>
    </r>
    <r>
      <rPr>
        <u/>
        <sz val="10"/>
        <color rgb="FF000000"/>
        <rFont val="Calibri"/>
        <family val="2"/>
        <charset val="238"/>
      </rPr>
      <t>3. ROK 2017:</t>
    </r>
    <r>
      <rPr>
        <sz val="10"/>
        <color rgb="FF000000"/>
        <rFont val="Calibri"/>
        <family val="2"/>
        <charset val="238"/>
      </rPr>
      <t xml:space="preserve"> W kolumnie Liczba innych narzędzi komunikacyjnych wykazano reportaż fotograficzny dotycząca operacji realizowanej w ramach Planu operacyjnego KSOW  2016-2017 pn. "Być przedsiębiorczym na śląskiej wsi". W kolumnie Inne lub mieszane wykazano w/w reportaż fotograficzny.</t>
    </r>
  </si>
  <si>
    <t>3.1 Liczba zebranych i upowszechnionych przykładów dobrej praktyki</t>
  </si>
  <si>
    <r>
      <t>Komentarze</t>
    </r>
    <r>
      <rPr>
        <b/>
        <sz val="10"/>
        <color rgb="FF000000"/>
        <rFont val="Calibri"/>
        <family val="2"/>
        <charset val="238"/>
      </rPr>
      <t xml:space="preserve">
</t>
    </r>
    <r>
      <rPr>
        <sz val="10"/>
        <color rgb="FF000000"/>
        <rFont val="Calibri"/>
        <family val="2"/>
        <charset val="238"/>
      </rPr>
      <t xml:space="preserve">(proszę wskazać co jest rozumiane </t>
    </r>
    <r>
      <rPr>
        <sz val="10"/>
        <color rgb="FF000000"/>
        <rFont val="Calibri"/>
        <family val="2"/>
        <charset val="238"/>
      </rPr>
      <t>przez kategorię "inne")</t>
    </r>
  </si>
  <si>
    <t>Liczba dobrych praktyk</t>
  </si>
  <si>
    <t>Z naciskiem na transfer wiedzy i innowacyjność (P1)</t>
  </si>
  <si>
    <r>
      <rPr>
        <u/>
        <sz val="10"/>
        <rFont val="Calibri"/>
        <family val="2"/>
        <charset val="238"/>
      </rPr>
      <t>1. ROK 2016:</t>
    </r>
    <r>
      <rPr>
        <sz val="10"/>
        <rFont val="Calibri"/>
        <family val="2"/>
        <charset val="238"/>
      </rPr>
      <t xml:space="preserve"> W kolumnie</t>
    </r>
    <r>
      <rPr>
        <i/>
        <sz val="10"/>
        <rFont val="Calibri"/>
        <family val="2"/>
        <charset val="238"/>
      </rPr>
      <t xml:space="preserve"> Inne tematy lub tematy mieszane uwzględniono następujące</t>
    </r>
    <r>
      <rPr>
        <sz val="10"/>
        <rFont val="Calibri"/>
        <family val="2"/>
        <charset val="238"/>
      </rPr>
      <t xml:space="preserve"> projekty: spotkania pt. "Fundusze unijne szansą rozwoju obszarów wiejskich", "Rolnictwo ekologiczne szansą dla młodych rolników" – organizacja seminarium i prezentacja przykładów dobrych praktyk w gospodarstwach oraz wyjazd studyjny do Szkocji.                                                                                                                                                                                                                                                                                                                                                                                                                               </t>
    </r>
    <r>
      <rPr>
        <u/>
        <sz val="10"/>
        <rFont val="Calibri"/>
        <family val="2"/>
        <charset val="238"/>
      </rPr>
      <t xml:space="preserve">W/w operacje zostały zgłoszone do </t>
    </r>
    <r>
      <rPr>
        <i/>
        <u/>
        <sz val="10"/>
        <rFont val="Calibri"/>
        <family val="2"/>
        <charset val="238"/>
      </rPr>
      <t>Bazy dobrych praktyk.</t>
    </r>
    <r>
      <rPr>
        <sz val="10"/>
        <rFont val="Calibri"/>
        <family val="2"/>
        <charset val="238"/>
      </rPr>
      <t xml:space="preserve">                                                                                                                                                                         </t>
    </r>
    <r>
      <rPr>
        <i/>
        <u/>
        <sz val="10"/>
        <rFont val="Calibri"/>
        <family val="2"/>
        <charset val="238"/>
      </rPr>
      <t xml:space="preserve">2. </t>
    </r>
    <r>
      <rPr>
        <u/>
        <sz val="10"/>
        <rFont val="Calibri"/>
        <family val="2"/>
        <charset val="238"/>
      </rPr>
      <t xml:space="preserve">ROK 2017:  </t>
    </r>
    <r>
      <rPr>
        <sz val="10"/>
        <rFont val="Calibri"/>
        <family val="2"/>
        <charset val="238"/>
      </rPr>
      <t xml:space="preserve">Uwzględniono  szkolenie "Wpływ funduszy unijnych na rozwój obszarów wiejskich" oraz wyjazd studyjny krajowy  </t>
    </r>
  </si>
  <si>
    <r>
      <t>Komentarze</t>
    </r>
    <r>
      <rPr>
        <sz val="12"/>
        <color rgb="FF000000"/>
        <rFont val="Calibri"/>
        <family val="2"/>
        <charset val="238"/>
      </rPr>
      <t xml:space="preserve">
(</t>
    </r>
    <r>
      <rPr>
        <sz val="10"/>
        <color rgb="FF000000"/>
        <rFont val="Calibri"/>
        <family val="2"/>
        <charset val="238"/>
      </rPr>
      <t xml:space="preserve">proszę wskazać co jest rozumiane </t>
    </r>
    <r>
      <rPr>
        <sz val="10"/>
        <color rgb="FF000000"/>
        <rFont val="Calibri"/>
        <family val="2"/>
        <charset val="238"/>
      </rPr>
      <t>przez kategorię "inne")</t>
    </r>
  </si>
  <si>
    <r>
      <rPr>
        <u/>
        <sz val="10"/>
        <rFont val="Calibri"/>
        <family val="2"/>
        <charset val="238"/>
      </rPr>
      <t>1. ROK 2015:</t>
    </r>
    <r>
      <rPr>
        <sz val="10"/>
        <rFont val="Calibri"/>
        <family val="2"/>
        <charset val="238"/>
      </rPr>
      <t xml:space="preserve"> W kolumnie </t>
    </r>
    <r>
      <rPr>
        <i/>
        <sz val="10"/>
        <rFont val="Calibri"/>
        <family val="2"/>
        <charset val="238"/>
      </rPr>
      <t>liczba grup tematycznych</t>
    </r>
    <r>
      <rPr>
        <sz val="10"/>
        <rFont val="Calibri"/>
        <family val="2"/>
        <charset val="238"/>
      </rPr>
      <t xml:space="preserve"> wskazano Wojewódzką Grupę Roboczą ds. KSOW. Natomiast w kolumnie </t>
    </r>
    <r>
      <rPr>
        <i/>
        <sz val="10"/>
        <rFont val="Calibri"/>
        <family val="2"/>
        <charset val="238"/>
      </rPr>
      <t>liczba spotkań grup tematycznych</t>
    </r>
    <r>
      <rPr>
        <sz val="10"/>
        <rFont val="Calibri"/>
        <family val="2"/>
        <charset val="238"/>
      </rPr>
      <t xml:space="preserve"> uwzględniono liczbę podjętych przez WGR uchwał z uwagi na to, że regulamin prac WGR ds. KSOW pozwala na podejmowanie uchwał  drogą mailową, a do dnia 31 grudnia 2015 r.  nie zaistniała konieczności zorganizowania spotkania „stacjonarnego”.                                                                   
</t>
    </r>
    <r>
      <rPr>
        <u/>
        <sz val="10"/>
        <rFont val="Calibri"/>
        <family val="2"/>
        <charset val="238"/>
      </rPr>
      <t>2. ROK 2016:</t>
    </r>
    <r>
      <rPr>
        <sz val="10"/>
        <rFont val="Calibri"/>
        <family val="2"/>
        <charset val="238"/>
      </rPr>
      <t xml:space="preserve"> W kolumnie </t>
    </r>
    <r>
      <rPr>
        <i/>
        <sz val="10"/>
        <rFont val="Calibri"/>
        <family val="2"/>
        <charset val="238"/>
      </rPr>
      <t>liczba grup tematycznych</t>
    </r>
    <r>
      <rPr>
        <sz val="10"/>
        <rFont val="Calibri"/>
        <family val="2"/>
        <charset val="238"/>
      </rPr>
      <t xml:space="preserve"> wskazano Wojewódzką Grupę Roboczą ds. KSOW. Natomiast w kolumnie </t>
    </r>
    <r>
      <rPr>
        <i/>
        <sz val="10"/>
        <rFont val="Calibri"/>
        <family val="2"/>
        <charset val="238"/>
      </rPr>
      <t>liczba spotkań grup tematycznych</t>
    </r>
    <r>
      <rPr>
        <sz val="10"/>
        <rFont val="Calibri"/>
        <family val="2"/>
        <charset val="238"/>
      </rPr>
      <t xml:space="preserve"> uwzględniono 1 spotkanie WGR oraz 9 uchwał podjętych przez WGR w 2016 r.                                                                                                              </t>
    </r>
    <r>
      <rPr>
        <u/>
        <sz val="10"/>
        <rFont val="Calibri"/>
        <family val="2"/>
        <charset val="238"/>
      </rPr>
      <t>3. ROK 2017:</t>
    </r>
    <r>
      <rPr>
        <sz val="10"/>
        <rFont val="Calibri"/>
        <family val="2"/>
        <charset val="238"/>
      </rPr>
      <t xml:space="preserve"> W kolumnie liczba grup tematycznych wskazano Wojewódzką Grupę Roboczą ds. KSOW. Natomiast w kolumnie liczba spotkań grup tematycznych uwzględniono 10 uchwał podjętych przez WGR, jedno spotkanie oraz zatwierdzenie jednego protokołu.
</t>
    </r>
    <r>
      <rPr>
        <u/>
        <sz val="10"/>
        <color rgb="FFFF0000"/>
        <rFont val="Calibri"/>
        <family val="2"/>
        <charset val="238"/>
      </rPr>
      <t xml:space="preserve">
</t>
    </r>
  </si>
  <si>
    <t>4.2 Liczba konsultacji tematycznych</t>
  </si>
  <si>
    <r>
      <t xml:space="preserve">W kolumnie Liczba osób według typu inicjatyw wskazano liczbę osób, która brała czynny udział w spotkaniu i podejmowaniu uchwał.                                            </t>
    </r>
    <r>
      <rPr>
        <u/>
        <sz val="11"/>
        <rFont val="Calibri"/>
        <family val="2"/>
        <charset val="238"/>
        <scheme val="minor"/>
      </rPr>
      <t xml:space="preserve">ROK 2017: </t>
    </r>
    <r>
      <rPr>
        <sz val="11"/>
        <rFont val="Calibri"/>
        <family val="2"/>
        <charset val="238"/>
        <scheme val="minor"/>
      </rPr>
      <t>W kolumnie Liczba osób według typu inicjatyw wskazano liczbę osób, która brała czynny udział w podejmowaniu uchwał, w spotkaniu oraz zatwierdzeniu protokołu.</t>
    </r>
  </si>
  <si>
    <t>Liczba przekazanych przykładów dobrych praktyk/ case study</t>
  </si>
  <si>
    <r>
      <rPr>
        <b/>
        <sz val="12"/>
        <color rgb="FF000000"/>
        <rFont val="Calibri"/>
        <family val="2"/>
        <charset val="238"/>
      </rPr>
      <t>Komentarze</t>
    </r>
    <r>
      <rPr>
        <sz val="10"/>
        <color rgb="FF000000"/>
        <rFont val="Calibri"/>
        <family val="2"/>
        <charset val="238"/>
      </rPr>
      <t xml:space="preserve">
(proszę wskazać co jest rozumiane przez kategorię "inne")</t>
    </r>
  </si>
  <si>
    <r>
      <t xml:space="preserve">Komentarze
</t>
    </r>
    <r>
      <rPr>
        <sz val="10"/>
        <color rgb="FF000000"/>
        <rFont val="Calibri"/>
        <family val="2"/>
        <charset val="238"/>
      </rPr>
      <t xml:space="preserve">(proszę wskazać co jest rozumiane </t>
    </r>
    <r>
      <rPr>
        <sz val="10"/>
        <color rgb="FF000000"/>
        <rFont val="Calibri"/>
        <family val="2"/>
        <charset val="238"/>
      </rPr>
      <t>przez kategorię "inne")</t>
    </r>
  </si>
  <si>
    <r>
      <t xml:space="preserve">1. ROK 2015:  Zakres temetyczny wskazany w kolumnie Inne tematy lub tematy mieszane dotyczą wyjazdu studyjnego pn. Przykłady nowoczesnych działań krajów nadbałtyckich w zakresie przedsiębiorczości (...) oraz cyklu spotkań pt. Jak zostać przedsiębiorczym mieszkańcem wsi.                                                                                                                                                                                                                                                                                                                                                                                   </t>
    </r>
    <r>
      <rPr>
        <u/>
        <sz val="10"/>
        <color rgb="FF000000"/>
        <rFont val="Calibri"/>
        <family val="2"/>
        <charset val="238"/>
      </rPr>
      <t>2. ROK 2016:</t>
    </r>
    <r>
      <rPr>
        <sz val="10"/>
        <color rgb="FF000000"/>
        <rFont val="Calibri"/>
        <family val="2"/>
        <charset val="238"/>
      </rPr>
      <t xml:space="preserve"> W kolumnie Inne uwzględniono: 1 spotkanie nt. funduszy unijnych zorganizowane przez Gminę Pilica, 1 seminarium połączone z  prezentacją przykładów dobrych praktyk w gospodarstwach, 1 prelekcję nt. prowadzenia działalności gospodarczej na obszarach wiejskich oraz 5 spotkań dla beneficjentów i potencjalnych beneficjentów PROW 2014-2020 i 2 spotkania dla LGD).                                                                                                                                                                                                                                                                                                                  W kolumnie Inne tematy lub tematy mieszane uwzględniono następujący zakres tematyczny: fundusze unijne jako szansa rozwoju obszarów wiejskich, warunki i tryb przyznawania pomocy finansowej oraz rozliczania uzyskanej pomocy finansowej w ramach wybranych działań PROW 2014-2020, produkty regionalne i tradycyjne, rolnictwo ekologiczne, gospodarstwa edukacyjne, zachowanie i ochrona dziedzictwa kulturowego.                     </t>
    </r>
    <r>
      <rPr>
        <u/>
        <sz val="10"/>
        <color rgb="FF000000"/>
        <rFont val="Calibri"/>
        <family val="2"/>
        <charset val="238"/>
      </rPr>
      <t xml:space="preserve">3. ROK 2017: </t>
    </r>
    <r>
      <rPr>
        <sz val="10"/>
        <color rgb="FF000000"/>
        <rFont val="Calibri"/>
        <family val="2"/>
        <charset val="238"/>
      </rPr>
      <t xml:space="preserve">W kolumnie Inne uwzględniono 3 spotkania dla beneficjentów i potencjalnych beneficjentów PROW 2014-2020 oraz operację "Być przedsiębiorczym na śląskiej wsi" - konferencja połączona z wyjazdem studyjnym.                                                                                                                                                                                      W kolumnie Inne tematy lub tematy mieszane uwzględniono następujące tematy: Zasady rozliczania  operacji typu „Inwestycje w targowiska lub obiekty budowlane przeznaczone na cele promocji lokalnych produktów” objętych Programem Rozwoju Obszarów Wiejskich na lata 2014-2020 </t>
    </r>
  </si>
  <si>
    <t>liczba przedstawicieli lokalnych partnerów i organizacji</t>
  </si>
  <si>
    <r>
      <rPr>
        <u/>
        <sz val="10"/>
        <color theme="1"/>
        <rFont val="Calibri"/>
        <family val="2"/>
        <charset val="238"/>
      </rPr>
      <t>1. ROK 2016:</t>
    </r>
    <r>
      <rPr>
        <sz val="10"/>
        <color theme="1"/>
        <rFont val="Calibri"/>
        <family val="2"/>
        <charset val="238"/>
      </rPr>
      <t xml:space="preserve"> W kolumnie </t>
    </r>
    <r>
      <rPr>
        <i/>
        <sz val="10"/>
        <color theme="1"/>
        <rFont val="Calibri"/>
        <family val="2"/>
        <charset val="238"/>
      </rPr>
      <t xml:space="preserve">liczba uczestników szkolenia/warsztatów </t>
    </r>
    <r>
      <rPr>
        <sz val="10"/>
        <color theme="1"/>
        <rFont val="Calibri"/>
        <family val="2"/>
        <charset val="238"/>
      </rPr>
      <t xml:space="preserve">wskazano maksymalną liczbę uczestników warsztatów w całym cyklu szkoleniowym (na podstawie list obecności)                                                                                                                                                                                                                                                                                                                                                                            W kolumnie </t>
    </r>
    <r>
      <rPr>
        <i/>
        <sz val="10"/>
        <color theme="1"/>
        <rFont val="Calibri"/>
        <family val="2"/>
        <charset val="238"/>
      </rPr>
      <t xml:space="preserve">liczba uczestników innych lub mieszanych działań szkoleniowych </t>
    </r>
    <r>
      <rPr>
        <sz val="10"/>
        <color theme="1"/>
        <rFont val="Calibri"/>
        <family val="2"/>
        <charset val="238"/>
      </rPr>
      <t>uwzględniono uczestników: 1 spotkania nt. funduszy unijnych zorganizowane, 1 seminarium połączonego z  prezentacją przykładów dobrych praktyk w gospodarstwach, 1 prelekcji nt. prowadzenia działalności gospodarczej na obszarach wiejskich oraz 5 spotkań dla beneficjentów i potencjalnych beneficjentów PROW 2014-2020 i 2 spotkania dla LGD.           
W kolumnie</t>
    </r>
    <r>
      <rPr>
        <i/>
        <sz val="10"/>
        <color theme="1"/>
        <rFont val="Calibri"/>
        <family val="2"/>
        <charset val="238"/>
      </rPr>
      <t xml:space="preserve"> liczba przedstawicieli innych grup interesariuszy</t>
    </r>
    <r>
      <rPr>
        <sz val="10"/>
        <color theme="1"/>
        <rFont val="Calibri"/>
        <family val="2"/>
        <charset val="238"/>
      </rPr>
      <t xml:space="preserve"> uwzględniono m.in. przedstawicieli: gmin i powiatu zawierciańskiego, Kół Gospodyń Wiejskich, stowarzyszeń działających na obszarach wiejskich, mieszkańcy Gminy Pilica - rolnicy, przedstawiciele stowarzyszeń i organizacji pozarządowych działających na terenie Gminy Pilica, beneficjentów potencjalnych beneficjenci PROW 2014-2020, przedstawicieli UMWŚ, przedstawicieli LGD, młodych rolników z województwa śląskiego etc. W kolumnie liczba przedstawicieli innych grup interesariuszy uwzględniono w/w przedstawicieli z wyjątkiem przedstawicieli LGD.                                                                                                                                                                            </t>
    </r>
    <r>
      <rPr>
        <u/>
        <sz val="10"/>
        <color theme="1"/>
        <rFont val="Calibri"/>
        <family val="2"/>
        <charset val="238"/>
      </rPr>
      <t>3. ROK 2017:</t>
    </r>
    <r>
      <rPr>
        <sz val="10"/>
        <color theme="1"/>
        <rFont val="Calibri"/>
        <family val="2"/>
        <charset val="238"/>
      </rPr>
      <t xml:space="preserve"> W kolumnie liczba uczestników innych lub mieszanych działań szkoleniowych uwzględniono uczestników operacji "Być przedsiębiorczym na ślaskiej wsi" oraz 3 spotkań dla beneficjentów i potencjalnych beneficjnetów PROW 2014-2020. W kolumnie Liczba przedstawicieli innych grup interesariuszy uwzględniono mi.in. rolników, instytucji działajacych na rzecz rozwoju obszarów wiejskich, osób prowadzacych godpodarstwa edukacyjne/agroturystyczne, mieszkańców Gminy Pilica, przedstawicieli UMWŚ, mieszkańców obszarów wiejskich, młodzi mieszkańcy wsi, młodzi rolnicy, beneficjenci i potencjalni benecjenci PROW.                                                                                                                                                                                                                                                                                   </t>
    </r>
  </si>
  <si>
    <t>7.1 Liczba inicjatyw współpracy, ofert poszukiwania partnerów do współpracy, badań/analiz, wizyt studyjnych i innych działań na rzecz współpracy</t>
  </si>
  <si>
    <t>1. ROK 2016: dotyczy 1 wyjazdu studyjnego zorganizowanego dla przedstawicieli LGD w celu nawiązania współpracy z LGD z terenu Litwy.                                                                                                                                                                                                                                                                                                                                                                                               2. ROK 2017: dotyczy 1 wyjazdu studyjnego zorganizowanego dla przedstawicieli LGD w celu nawiązania współpracy z LGD z terenu Łotwy i Estonii</t>
  </si>
  <si>
    <t>8. Budżet sieci w EUR - Proszę nie licz podwójnie</t>
  </si>
  <si>
    <r>
      <rPr>
        <b/>
        <sz val="12"/>
        <color rgb="FF000000"/>
        <rFont val="Calibri"/>
        <family val="2"/>
        <charset val="238"/>
      </rPr>
      <t xml:space="preserve">Komentarze </t>
    </r>
    <r>
      <rPr>
        <sz val="10"/>
        <color rgb="FF000000"/>
        <rFont val="Calibri"/>
        <family val="2"/>
        <charset val="238"/>
      </rPr>
      <t xml:space="preserve">(proszę wskazać także </t>
    </r>
    <r>
      <rPr>
        <sz val="10"/>
        <color rgb="FF000000"/>
        <rFont val="Calibri"/>
        <family val="2"/>
        <charset val="238"/>
      </rPr>
      <t>inne kategorie)</t>
    </r>
  </si>
  <si>
    <r>
      <rPr>
        <u/>
        <sz val="9"/>
        <rFont val="Calibri1"/>
        <charset val="238"/>
      </rPr>
      <t xml:space="preserve">1. ROK 2015: </t>
    </r>
    <r>
      <rPr>
        <sz val="9"/>
        <rFont val="Calibri1"/>
        <charset val="238"/>
      </rPr>
      <t xml:space="preserve">Na kowtę funkcjonwania </t>
    </r>
    <r>
      <rPr>
        <sz val="9"/>
        <color rgb="FFFF0000"/>
        <rFont val="Calibri1"/>
        <charset val="238"/>
      </rPr>
      <t>144 666,10 zł</t>
    </r>
    <r>
      <rPr>
        <sz val="9"/>
        <rFont val="Calibri1"/>
        <charset val="238"/>
      </rPr>
      <t xml:space="preserve"> składają się koszty związane z zatrudnieniem na pełen etat 4 osób i premia Zastępcy Dyrektora w kwocie 138 846,55 zł , delegacje w kwocie 5 785,59 zł oraz </t>
    </r>
    <r>
      <rPr>
        <sz val="9"/>
        <color rgb="FFFF0000"/>
        <rFont val="Calibri1"/>
        <charset val="238"/>
      </rPr>
      <t>internet w kwocie 33,96 zł.</t>
    </r>
    <r>
      <rPr>
        <sz val="9"/>
        <rFont val="Calibri1"/>
        <charset val="238"/>
      </rPr>
      <t xml:space="preserve"> Całkowity koszt poniesiony na realizację operacji w ramach Planu działania KSOW w 2016 roku to 376 156,74 zł.  Koszt materiałów promocyjnych (gadżety) w kwocie 16 835,01 zł brutto wykazano w tabeli 1.                                                                                                                                                                                                                                                                                                                                                                                                                                                              </t>
    </r>
    <r>
      <rPr>
        <u/>
        <sz val="9"/>
        <rFont val="Calibri1"/>
        <charset val="238"/>
      </rPr>
      <t>2. ROK 2016</t>
    </r>
    <r>
      <rPr>
        <sz val="9"/>
        <rFont val="Calibri1"/>
        <charset val="238"/>
      </rPr>
      <t xml:space="preserve">: Całkowity koszt poniesiony na realizację operacji w ramach Planu działania KSOW w 2016 roku to 807 897,95.  Koszt materiałów promocyjnych (gadżety) w kwocie 11 553,39 zł brutto wykazano w tabeli 1.
Na kwotę funkcjonowania </t>
    </r>
    <r>
      <rPr>
        <sz val="9"/>
        <color rgb="FFFF0000"/>
        <rFont val="Calibri1"/>
        <charset val="238"/>
      </rPr>
      <t xml:space="preserve">361 553,52 zł </t>
    </r>
    <r>
      <rPr>
        <sz val="9"/>
        <rFont val="Calibri1"/>
        <charset val="238"/>
      </rPr>
      <t>składają się następujące koszty : wynagrodzenie pracowników JR KSOW wraz z nagrodami i "trzynastką" oraz premie Zastępcy Dyrektora Wydziału TW w kwocie 346 156,35 zł, d</t>
    </r>
    <r>
      <rPr>
        <sz val="9"/>
        <color rgb="FFFF0000"/>
        <rFont val="Calibri1"/>
        <charset val="238"/>
      </rPr>
      <t>elegacje 13 687,32 zł, podnoszenie kwalifikacji pracowników - delegacje 1 642,20 zł oraz koszty Internetu 67,65 zł.</t>
    </r>
    <r>
      <rPr>
        <u/>
        <sz val="9"/>
        <rFont val="Calibri1"/>
        <charset val="238"/>
      </rPr>
      <t xml:space="preserve">
 ROK 2017: </t>
    </r>
    <r>
      <rPr>
        <sz val="9"/>
        <rFont val="Calibri1"/>
        <charset val="238"/>
      </rPr>
      <t>Koszty poniesione na realizację operacji w ramach Planu działania KSOW 2014-2020 w 2017 r. to 724 658,10 zł.
Na koszty funkcjonowania poniesione w 2017 r. składają się następujące elementy: wynagrodzenie pracowników JR KSOW wraz z nagrodami i "trzynastką" w kwocie 362 226,51 zł zł, delegacje 9 364,25 zł, podnoszenie kwalifikacji pracowników (delegacje) 660,00 zł, koszty internetu do tabletu 65,94 zł, koszty telefonów stacjonarnych (połączeń) 24,77 zł, koszty wydruku centralnego (wydruk i dzierżawa) 2 085,36 zł, chmura 80,88 zł. RAZEM koszty funkcjonowania to 374 507,71 zł.</t>
    </r>
  </si>
  <si>
    <t>Jednostka regionalna KSOW Woj. Warmińsko-Mazurskiego</t>
  </si>
  <si>
    <r>
      <rPr>
        <b/>
        <sz val="10"/>
        <color indexed="8"/>
        <rFont val="Calibri"/>
        <family val="2"/>
        <charset val="238"/>
      </rPr>
      <t>2015</t>
    </r>
    <r>
      <rPr>
        <sz val="10"/>
        <color indexed="8"/>
        <rFont val="Calibri"/>
        <family val="2"/>
        <charset val="238"/>
      </rPr>
      <t xml:space="preserve">                                                                                                                                                                                                                                                                                                          wydarzenia międzynarodowe:                                                                                                                                                                                                                                                                       1. Wizyta studyjna w województwie warmińsko-mazurskim przedstawicieli z Departamentu Cotes d`Armor z Francji.                                          wydarzenia krajowe:                                                                                                                                                                                                                                                                                            1. Dożynki Prezydenckie w Spale.                                                                                                                                                                                                                                                            </t>
    </r>
    <r>
      <rPr>
        <b/>
        <sz val="10"/>
        <color indexed="8"/>
        <rFont val="Calibri"/>
        <family val="2"/>
        <charset val="238"/>
      </rPr>
      <t xml:space="preserve">2016                                                                                                                                                                                                                                                                                                                </t>
    </r>
    <r>
      <rPr>
        <sz val="10"/>
        <color indexed="8"/>
        <rFont val="Calibri"/>
        <family val="2"/>
        <charset val="238"/>
      </rPr>
      <t xml:space="preserve">wydarzenia krajowe:                                                                                                                                                                                                                                                                                            1. Wystawa zwierząt.                                                                                                                                                                                                                                                                                           2. XX Ogólnopolskie Pokazy Konne XV Ogólnopolski Czempionat Koni Zimnokrwistych III Specjalistyczna Wystawa Koni Ardeńskich.                                  3. Udział wiosek tematycznych w AGROTRAVEL.                                                                                                                                                                                                                                4. Targi "Smaki Regionów" w Poznaniu.                                                                                                                                                                                                                                                   </t>
    </r>
    <r>
      <rPr>
        <b/>
        <sz val="10"/>
        <color indexed="8"/>
        <rFont val="Calibri"/>
        <family val="2"/>
        <charset val="238"/>
      </rPr>
      <t>2017</t>
    </r>
    <r>
      <rPr>
        <sz val="10"/>
        <color indexed="8"/>
        <rFont val="Calibri"/>
        <family val="2"/>
        <charset val="238"/>
      </rPr>
      <t xml:space="preserve">                                                                                                                                                                                                                                                                                                          wydarzenia krajowe:                                                                                                                                                                                                                                                                                                                                1. Targi "Smaki Regionów" w Poznaniu.</t>
    </r>
  </si>
  <si>
    <r>
      <rPr>
        <b/>
        <sz val="10"/>
        <color indexed="8"/>
        <rFont val="Calibri"/>
        <family val="2"/>
        <charset val="238"/>
      </rPr>
      <t>2015</t>
    </r>
    <r>
      <rPr>
        <sz val="10"/>
        <color indexed="8"/>
        <rFont val="Calibri"/>
        <family val="2"/>
        <charset val="238"/>
      </rPr>
      <t xml:space="preserve">                                                                                                                                                                                                                                                                                                                     wydarzenia międzynarodowe:                                                                                                                                                                                                                                                                       1. Wizyta studyjna w województwie warmińsko-mazurskim przedstawicieli z Departamentu Cotes d`Armor z Francji: 25 osób.                                                            wydarzenia krajowe:                                                                                                                                                                                                                                                                                             2. Dożynki Prezydenckie w Spale: 49 osób.                                                                                                                                                                                                                                     </t>
    </r>
    <r>
      <rPr>
        <b/>
        <sz val="10"/>
        <color indexed="8"/>
        <rFont val="Calibri"/>
        <family val="2"/>
        <charset val="238"/>
      </rPr>
      <t>2016</t>
    </r>
    <r>
      <rPr>
        <sz val="10"/>
        <color indexed="8"/>
        <rFont val="Calibri"/>
        <family val="2"/>
        <charset val="238"/>
      </rPr>
      <t xml:space="preserve">                                                                                                                                                                                                                                                                                                          wydarzenia krajowe:                                                                                                                                                                                                                                                                                            1. 1. Wystawa zwierząt:  25 040 (w tym wystawcy i osoby zwiedzające)                                                                                                                                                                                                                                                                             2. XX Ogólnopolskie Pokazy Konne XV Ogólnopolski Czempionat Koni Zimnokrwistych III Specjalistyczna Wystawa Koni Ardeńskich: 4040 (w tym wystawcy i osoby uczestniczące w wydarzeniu)                                                                                                                                                                                                                                                                                                                 3. Udział wiosek tematycznych w AGROTRAVEL: 16 wystawców, liczba zwiedzających - 20 tys.                                                                                                                            4. Targi "Smaki Regionów" w Poznaniu 4 przedstawicieli Urzędu Marszałkowskiego Województwa Warmińsko-Mazurskiego.                                        </t>
    </r>
    <r>
      <rPr>
        <b/>
        <sz val="10"/>
        <color indexed="8"/>
        <rFont val="Calibri"/>
        <family val="2"/>
        <charset val="238"/>
      </rPr>
      <t>2017</t>
    </r>
    <r>
      <rPr>
        <sz val="10"/>
        <color indexed="8"/>
        <rFont val="Calibri"/>
        <family val="2"/>
        <charset val="238"/>
      </rPr>
      <t xml:space="preserve">                                                                                                                                                                                                                                                                                                                wydarzenia krajowe: </t>
    </r>
    <r>
      <rPr>
        <b/>
        <sz val="10"/>
        <color indexed="8"/>
        <rFont val="Calibri"/>
        <family val="2"/>
        <charset val="238"/>
      </rPr>
      <t xml:space="preserve">     </t>
    </r>
    <r>
      <rPr>
        <sz val="10"/>
        <color indexed="8"/>
        <rFont val="Calibri"/>
        <family val="2"/>
        <charset val="238"/>
      </rPr>
      <t xml:space="preserve">                                                                                                                                                                                                                                                                                                                         1. Targi "Smaki Regionów" w Poznaniu.                                       </t>
    </r>
  </si>
  <si>
    <r>
      <rPr>
        <b/>
        <sz val="10"/>
        <color theme="1"/>
        <rFont val="Calibri"/>
        <family val="2"/>
        <charset val="238"/>
        <scheme val="minor"/>
      </rPr>
      <t xml:space="preserve">2015 </t>
    </r>
    <r>
      <rPr>
        <sz val="10"/>
        <color theme="1"/>
        <rFont val="Calibri"/>
        <family val="2"/>
        <charset val="238"/>
        <scheme val="minor"/>
      </rPr>
      <t xml:space="preserve">                                                                                                                                                                                                                                                                                                                                       2 publikacje w gazecie branżowej na temat działań wdrażanych w ramach PROW 2014-2020 przez Samorząd Województwa                                                 </t>
    </r>
    <r>
      <rPr>
        <b/>
        <sz val="10"/>
        <color theme="1"/>
        <rFont val="Calibri"/>
        <family val="2"/>
        <charset val="238"/>
        <scheme val="minor"/>
      </rPr>
      <t>2016</t>
    </r>
    <r>
      <rPr>
        <sz val="10"/>
        <color theme="1"/>
        <rFont val="Calibri"/>
        <family val="2"/>
        <charset val="238"/>
        <scheme val="minor"/>
      </rPr>
      <t xml:space="preserve">                                                                                                                                                                                                                                                                                                                                   2 publikacje w gazecie branżowej na temat działań wdrażanych w ramach PROW 2014-2020 przez Samorząd Województwa                                                   1 publikacja na temat jagnięciny i koźlęciny                                                                                                                                                                                                                                          1 publikacja na temat aktywizacji starszych osób                                                                                                                                                                                                                     </t>
    </r>
    <r>
      <rPr>
        <b/>
        <sz val="10"/>
        <color theme="1"/>
        <rFont val="Calibri"/>
        <family val="2"/>
        <charset val="238"/>
        <scheme val="minor"/>
      </rPr>
      <t xml:space="preserve">2017  </t>
    </r>
    <r>
      <rPr>
        <sz val="10"/>
        <color theme="1"/>
        <rFont val="Calibri"/>
        <family val="2"/>
        <charset val="238"/>
        <scheme val="minor"/>
      </rPr>
      <t xml:space="preserve">                                                                                                                                                                                                                                                                                                                                2 publikacje tematyczne/wydania ksiażkowe z zakresu zielonych miejsc pracy /uwarunkowań partnerstw terytorialnych.                                                                                                                                                                                                                                                                                                                    </t>
    </r>
  </si>
  <si>
    <r>
      <rPr>
        <b/>
        <sz val="10"/>
        <color indexed="8"/>
        <rFont val="Calibri"/>
        <family val="2"/>
        <charset val="238"/>
      </rPr>
      <t>2015</t>
    </r>
    <r>
      <rPr>
        <sz val="10"/>
        <color indexed="8"/>
        <rFont val="Calibri"/>
        <family val="2"/>
        <charset val="238"/>
      </rPr>
      <t xml:space="preserve">                                                                                                                                                                                                                                                                                                                    tablice informacyjne dla beneficjentów PROW 2007-2013 - 79 sztuk                                                                                                                                                                               </t>
    </r>
    <r>
      <rPr>
        <b/>
        <sz val="10"/>
        <color indexed="8"/>
        <rFont val="Calibri"/>
        <family val="2"/>
        <charset val="238"/>
      </rPr>
      <t>2016</t>
    </r>
    <r>
      <rPr>
        <sz val="10"/>
        <color indexed="8"/>
        <rFont val="Calibri"/>
        <family val="2"/>
        <charset val="238"/>
      </rPr>
      <t xml:space="preserve">                                                                                                                                                                                                                                                                                                                 Konkursy związane z promocją i rozwojem obszarów wiejskich - 2, roll-upy i standy wykorzystywane do promocji - 8 sztuk, tabliczki informacyjne-4 sztuki,                                                                                                                                                                                                                                                                                                                      </t>
    </r>
    <r>
      <rPr>
        <b/>
        <sz val="10"/>
        <color indexed="8"/>
        <rFont val="Calibri"/>
        <family val="2"/>
        <charset val="238"/>
      </rPr>
      <t>2017</t>
    </r>
    <r>
      <rPr>
        <sz val="10"/>
        <color indexed="8"/>
        <rFont val="Calibri"/>
        <family val="2"/>
        <charset val="238"/>
      </rPr>
      <t xml:space="preserve">                                                                                                                                                                                                                                                                                                                                                                                                                                                                                                                                                        1. 4 filmy na temat żywności wysokiej jakości w województwie warmińsko-mazurskim.                                                                                                                                     2. Spot promujący PROW 2014-2020.                                                                                                                                                                                                                                                       3. Olimpiada wiedzy o rolnictwie.                                                                                                                                                                                                                                                               4. Przygotowanie ścianki reklamowej.                                                                                                                                                                                                                                                                5. Budowa strony internetowej promującej PROW 2014-2020.</t>
    </r>
  </si>
  <si>
    <r>
      <t xml:space="preserve">Spotkanie wojewódzkiej grupy roboczej ds. KSOW                                                                                                                                                                                                                    </t>
    </r>
    <r>
      <rPr>
        <b/>
        <sz val="10"/>
        <color theme="1"/>
        <rFont val="Calibri"/>
        <family val="2"/>
        <charset val="238"/>
        <scheme val="minor"/>
      </rPr>
      <t/>
    </r>
  </si>
  <si>
    <t>Liczba osób biorących udział w spotkaniach wojewódzkiej grupy roboczej ds. KSOW w 2015 r.-12 osób                                                                                              Liczba osób biorących udział w spotkaniach wojewódzkiej grupy roboczej ds. KSOW w 2016 r., w szczegółowości: 1 spotkanie w trybie zwyczajnym - 9 osób, 5 akceptacji w trybie obiegowym - łącznie 43 osoby (te same osoby liczone przy każdej akceptacji w trybie obiegowym).                              Liczba osób biorących udział w spotkaniach wojewódzkiej grupy roboczej ds. KSOW w 2017 r.-12 osób                                                                                                                                                                                                                                                                                                                                     6 spotkań w trybie obiegowym - łącznie 44 osoby (te same osoby liczone przy każdej akceptacji w trybie obiegowym)</t>
  </si>
  <si>
    <r>
      <rPr>
        <b/>
        <sz val="10"/>
        <color theme="1"/>
        <rFont val="Calibri"/>
        <family val="2"/>
        <charset val="238"/>
        <scheme val="minor"/>
      </rPr>
      <t>2015</t>
    </r>
    <r>
      <rPr>
        <sz val="10"/>
        <color theme="1"/>
        <rFont val="Calibri"/>
        <family val="2"/>
        <scheme val="minor"/>
      </rPr>
      <t xml:space="preserve">                                                                                                                                                                                                                                                                                                                                  Szkolenie dla LGD.                                                                                                                                                                                                                                                                                                 Szkolenie dla beneficjentów działania "Budowa lub modernizacja dróg lokalnych w ramach PRWO 2014-2020".                                                                          </t>
    </r>
    <r>
      <rPr>
        <b/>
        <sz val="10"/>
        <color theme="1"/>
        <rFont val="Calibri"/>
        <family val="2"/>
        <charset val="238"/>
        <scheme val="minor"/>
      </rPr>
      <t>2016</t>
    </r>
    <r>
      <rPr>
        <sz val="10"/>
        <color theme="1"/>
        <rFont val="Calibri"/>
        <family val="2"/>
        <scheme val="minor"/>
      </rPr>
      <t xml:space="preserve">                                                                                                                                                                                                                                                                                                                                                                                                                        3 Szkolenia/spotkania z beneficjentami PROW 2014-2020 w ramach Planu komunikacyjnego.                                                                                                                      6 szkoleń związanych z promocją i rozwojem obszarów wiejskich.                                                                                                                                                                                            1 szkolenie dla LGD.                                                                                                                                                                                                                                                                                               3 cykle szkoleniowe w ramach trzech operacji realizowanych przez Partnera w ramach Planu operacyjnego na lata 2016-2017.                                         1 seminarium zrealizowane przez Partnera w ramach Planu operacyjnego na lata 2016-2017.                                                                                                                         1 wizyta studyjna do Białowieży                                                                                                                                                                                                                                                            </t>
    </r>
    <r>
      <rPr>
        <b/>
        <sz val="10"/>
        <color theme="1"/>
        <rFont val="Calibri"/>
        <family val="2"/>
        <charset val="238"/>
        <scheme val="minor"/>
      </rPr>
      <t>2017</t>
    </r>
    <r>
      <rPr>
        <sz val="10"/>
        <color theme="1"/>
        <rFont val="Calibri"/>
        <family val="2"/>
        <scheme val="minor"/>
      </rPr>
      <t xml:space="preserve">                                                                                                                                                                                                                                                                                                                                      1. 2 szkolenia/spotkania informacyjne dla beneficjentów PROW 2014-2020 w ramach planu komunikacyjnego</t>
    </r>
  </si>
  <si>
    <r>
      <t xml:space="preserve">2015                                                                                                                                                                                                                                                                                                                                </t>
    </r>
    <r>
      <rPr>
        <sz val="10"/>
        <color indexed="8"/>
        <rFont val="Calibri"/>
        <family val="2"/>
        <charset val="238"/>
      </rPr>
      <t xml:space="preserve"> Szkolenie z zakresu działania  "Budowa lub modernizacja dróg lokalnych w ramach PRWO 2014-2020"-155 osób                                                                               Szkolenie dla LGD - 63 osoby                                                                                                                                                                                                                           </t>
    </r>
    <r>
      <rPr>
        <b/>
        <sz val="10"/>
        <color indexed="8"/>
        <rFont val="Calibri"/>
        <family val="2"/>
      </rPr>
      <t xml:space="preserve">                                            2016                                                                                                                                                                                                                                                                                                                               </t>
    </r>
    <r>
      <rPr>
        <sz val="10"/>
        <color indexed="8"/>
        <rFont val="Calibri"/>
        <family val="2"/>
        <charset val="238"/>
      </rPr>
      <t xml:space="preserve">Pracownicy Urzędu Marszałkowskiego, którzy brali udział w szkoleniach/spotkania z beneficjentami PROW 2014-2020-51 osób                                      Rolnicy, którzy barali udział w warsztatach serowarskich -32 osoby                                                                                                                                                                     Przedstawiciele LGD (udział w 3 spotkaniach/szkoleniach) - 117 osób                                                                                                                                                                                   Beneficjenci działań w ramach PROW 2014-2020 uczestniczący w 2 spotkaniach informacyjnych - 327 osób                                                                                    Mieszkańcy województwa warmińsko-mazurskiego/grupy docelowe biorące udział w 6 przedsiewzięciach przeprowadzonych przez partnerów KSOW  oraz  w 1 przedsięwzięciu własnym - 466 osób                                                                                                                                                                                                            </t>
    </r>
    <r>
      <rPr>
        <b/>
        <sz val="10"/>
        <color indexed="8"/>
        <rFont val="Calibri"/>
        <family val="2"/>
        <charset val="238"/>
      </rPr>
      <t>2017</t>
    </r>
    <r>
      <rPr>
        <sz val="10"/>
        <color indexed="8"/>
        <rFont val="Calibri"/>
        <family val="2"/>
        <charset val="238"/>
      </rPr>
      <t xml:space="preserve">                                                                                                                                                                                                                                                                                                                                                                                                                                                                                                                                                                                                                                                                                                                                                                                                                             1. Beneficjenci operacji dotyczących gospodarki wodno-ściekowej-37 osób                                                                                                                                                       Pracownicy Urzędu Marszałkowskiego, którzy brali udział w spotkaniu z beneficjentami operacji dotyczących gospodarki wodno-ściekowej-19 osób 2. Przedstawiciele LGD biorący udział w szkoleniu - 35 osób Pracownicy Urzędu Marszałkowskiego biorący udział w szkoleniu-15 osób                                                                                                                                                                                                  </t>
    </r>
  </si>
  <si>
    <t>wynagrodzenie, koszty: materiałów eksploatacyjnych i biurowych, paliwa, delegacji, usług telekomunikacyjnych, udział pracowników w szkoleniach</t>
  </si>
  <si>
    <t>[Jednostka Regionalna Krajowej Sieci Obszarów Wiejskich Województwo Wielkopolskie]</t>
  </si>
  <si>
    <r>
      <rPr>
        <b/>
        <sz val="10"/>
        <color indexed="8"/>
        <rFont val="Calibri"/>
        <family val="2"/>
        <charset val="238"/>
      </rPr>
      <t>2015 r.</t>
    </r>
    <r>
      <rPr>
        <sz val="10"/>
        <color indexed="8"/>
        <rFont val="Calibri"/>
        <family val="2"/>
        <charset val="238"/>
      </rPr>
      <t xml:space="preserve"> </t>
    </r>
    <r>
      <rPr>
        <u/>
        <sz val="10"/>
        <color indexed="8"/>
        <rFont val="Calibri"/>
        <family val="2"/>
        <charset val="238"/>
      </rPr>
      <t xml:space="preserve">Zasięg krajowy - </t>
    </r>
    <r>
      <rPr>
        <sz val="10"/>
        <color indexed="8"/>
        <rFont val="Calibri"/>
        <family val="2"/>
        <charset val="238"/>
      </rPr>
      <t xml:space="preserve">Wieś Polska - Wieś Innowacyjna; Targi: XIV Ogólnopolski Festiwal Starych Ciągników i Maszyn Rolniczych; III Światowy Festiwal  Wikliny i Plecionkarstwa Nowy Tomyśl; Smaki Regionów; Dożynki Prezydenckie w Spale. </t>
    </r>
    <r>
      <rPr>
        <u/>
        <sz val="10"/>
        <color indexed="8"/>
        <rFont val="Calibri"/>
        <family val="2"/>
        <charset val="238"/>
      </rPr>
      <t>Zasięg lokalny/regionalny</t>
    </r>
    <r>
      <rPr>
        <sz val="10"/>
        <color indexed="8"/>
        <rFont val="Calibri"/>
        <family val="2"/>
        <charset val="238"/>
      </rPr>
      <t xml:space="preserve"> to Wieczerza Wigilijna - kultywowanie tradycji bożonarodzeniowych; Wielkopolskie Święto Mleka w Powiecie Kolskim.  </t>
    </r>
    <r>
      <rPr>
        <b/>
        <sz val="10"/>
        <color indexed="8"/>
        <rFont val="Calibri"/>
        <family val="2"/>
        <charset val="238"/>
      </rPr>
      <t>2016 r.</t>
    </r>
    <r>
      <rPr>
        <sz val="10"/>
        <color indexed="8"/>
        <rFont val="Calibri"/>
        <family val="2"/>
        <charset val="238"/>
      </rPr>
      <t xml:space="preserve"> </t>
    </r>
    <r>
      <rPr>
        <u/>
        <sz val="10"/>
        <color indexed="8"/>
        <rFont val="Calibri"/>
        <family val="2"/>
        <charset val="238"/>
      </rPr>
      <t xml:space="preserve">Zasięg krajowy: </t>
    </r>
    <r>
      <rPr>
        <sz val="10"/>
        <color indexed="8"/>
        <rFont val="Calibri"/>
        <family val="2"/>
        <charset val="238"/>
      </rPr>
      <t xml:space="preserve">Tour Salon, Dożynki Prezydenckie w Spale, Agrotravel oraz Targi Smaki Regionów. </t>
    </r>
    <r>
      <rPr>
        <u/>
        <sz val="10"/>
        <color indexed="8"/>
        <rFont val="Calibri"/>
        <family val="2"/>
        <charset val="238"/>
      </rPr>
      <t>Zasięg międzynarodowy:</t>
    </r>
    <r>
      <rPr>
        <sz val="10"/>
        <color indexed="8"/>
        <rFont val="Calibri"/>
        <family val="2"/>
        <charset val="238"/>
      </rPr>
      <t xml:space="preserve"> Grune Woche, Dzień Św. Marcina w Brukseli oraz dwa inne wyjazdy zagraniczne - Korea i Hesja.</t>
    </r>
    <r>
      <rPr>
        <u/>
        <sz val="10"/>
        <color indexed="8"/>
        <rFont val="Calibri"/>
        <family val="2"/>
        <charset val="238"/>
      </rPr>
      <t xml:space="preserve"> Zasięg lokalny/regionalny: </t>
    </r>
    <r>
      <rPr>
        <sz val="10"/>
        <color indexed="8"/>
        <rFont val="Calibri"/>
        <family val="2"/>
        <charset val="238"/>
      </rPr>
      <t xml:space="preserve">Dożynki w Liskowie oraz 49 wydarzeń w ramach wszystkich wniosków partnerów. 5 projektów partnerów KSOW realizowanych było w ramach kilku priorytetów; Szkolenie -  Forum Kobiet; Szkolenie nt  możliwości pozyskania funduszy unijnych Ostrzeszów. </t>
    </r>
    <r>
      <rPr>
        <b/>
        <sz val="10"/>
        <color indexed="8"/>
        <rFont val="Calibri"/>
        <family val="2"/>
        <charset val="238"/>
      </rPr>
      <t>2017 r.</t>
    </r>
    <r>
      <rPr>
        <sz val="10"/>
        <color indexed="8"/>
        <rFont val="Calibri"/>
        <family val="2"/>
        <charset val="238"/>
      </rPr>
      <t xml:space="preserve"> </t>
    </r>
    <r>
      <rPr>
        <u/>
        <sz val="10"/>
        <color indexed="8"/>
        <rFont val="Calibri"/>
        <family val="2"/>
        <charset val="238"/>
      </rPr>
      <t>zasięg międzynarodowy:</t>
    </r>
    <r>
      <rPr>
        <sz val="10"/>
        <color indexed="8"/>
        <rFont val="Calibri"/>
        <family val="2"/>
        <charset val="238"/>
      </rPr>
      <t xml:space="preserve"> Grune Woche, Miedzynarodowe Targi Turystyczner we Wrocławiu, Festyn Kraju Związkowego Hesja Dzień Hesji - Rüsselsheim, Dzień Świętego Marcina w Brukseli, Wyjazd szkoleniowo-studyjny dla przedstawicieli LGD do g. Amtsberg. Z</t>
    </r>
    <r>
      <rPr>
        <u/>
        <sz val="10"/>
        <color indexed="8"/>
        <rFont val="Calibri"/>
        <family val="2"/>
        <charset val="238"/>
      </rPr>
      <t>asięg krajowy:</t>
    </r>
    <r>
      <rPr>
        <sz val="10"/>
        <color indexed="8"/>
        <rFont val="Calibri"/>
        <family val="2"/>
        <charset val="238"/>
      </rPr>
      <t xml:space="preserve"> Dożynki Prezydenckie Spała, Targi Smaki Regionów. </t>
    </r>
    <r>
      <rPr>
        <u/>
        <sz val="10"/>
        <color indexed="8"/>
        <rFont val="Calibri"/>
        <family val="2"/>
        <charset val="238"/>
      </rPr>
      <t>Zasięg lokalny/regionalny:</t>
    </r>
    <r>
      <rPr>
        <sz val="10"/>
        <color indexed="8"/>
        <rFont val="Calibri"/>
        <family val="2"/>
        <charset val="238"/>
      </rPr>
      <t xml:space="preserve"> Konferencja pszczelarzy, Wyjazd studyjny samorządowców z Wlkp do woj. świętokrzyskiego, IV Świeto zupy w Borui Nowej, Dożynki Archidecezjalno-Wojewódzkie w Gnieźnie, Niedziela z funduszami Unijnymi w aspekcie 750 lecia Dubina, wyjazd studyjny dla dziennikarzy niemieckich  oraz dwa szkolenia realizowane w ramach PK (szkolenie dla LGD z poddziałanie 19.2 oraz dla beneficjentów w zakresie PZP)  oraz 19 wydarzeń realizowanych przez partnerów KSOW. </t>
    </r>
  </si>
  <si>
    <r>
      <t>2015r</t>
    </r>
    <r>
      <rPr>
        <u/>
        <sz val="10"/>
        <color indexed="8"/>
        <rFont val="Calibri"/>
        <family val="2"/>
        <charset val="238"/>
      </rPr>
      <t>. - Zasięg krajowy to</t>
    </r>
    <r>
      <rPr>
        <sz val="10"/>
        <color indexed="8"/>
        <rFont val="Calibri"/>
        <family val="2"/>
        <charset val="238"/>
      </rPr>
      <t xml:space="preserve"> - Wieś Polska - Wieś Innowacyjna, XIV Ogólnopolski Festiwal Starych Ciągników i Maszyn Rolniczych, III Światowy Festiwal  Wikliny i Plecionkarstwa Nowy Tomyśl, Smaki Regionów (łącznie 384 uczestników) , Dożynki Prezydenckie w Spale (ok. 10 000 zwiedzających) ; </t>
    </r>
    <r>
      <rPr>
        <u/>
        <sz val="10"/>
        <color indexed="8"/>
        <rFont val="Calibri"/>
        <family val="2"/>
        <charset val="238"/>
      </rPr>
      <t>Zasięg lokalny/regionalny</t>
    </r>
    <r>
      <rPr>
        <sz val="10"/>
        <color indexed="8"/>
        <rFont val="Calibri"/>
        <family val="2"/>
        <charset val="238"/>
      </rPr>
      <t xml:space="preserve"> to Wieczerza Wigilijna - kultywowanie tradycji bożonarodzeniowych, Wielkopolskie Święto Mleka w Powiecie Kolskim (łącznie 524 uczestników).</t>
    </r>
    <r>
      <rPr>
        <b/>
        <sz val="10"/>
        <color indexed="8"/>
        <rFont val="Calibri"/>
        <family val="2"/>
        <charset val="238"/>
      </rPr>
      <t xml:space="preserve">  2016 r.</t>
    </r>
    <r>
      <rPr>
        <sz val="10"/>
        <color indexed="8"/>
        <rFont val="Calibri"/>
        <family val="2"/>
        <charset val="238"/>
      </rPr>
      <t xml:space="preserve"> </t>
    </r>
    <r>
      <rPr>
        <u/>
        <sz val="10"/>
        <color indexed="8"/>
        <rFont val="Calibri"/>
        <family val="2"/>
        <charset val="238"/>
      </rPr>
      <t>Zasięg krajowy</t>
    </r>
    <r>
      <rPr>
        <sz val="10"/>
        <color indexed="8"/>
        <rFont val="Calibri"/>
        <family val="2"/>
        <charset val="238"/>
      </rPr>
      <t xml:space="preserve">: Tour Salon - ok. 35 000 odwiedzających, Dożynki Prezydenckie w Spale - ok. 8 000 uczestników oraz Agrotravel - ok. 20 000 uczestników, Targi Smaki Regionów to ok. 40 000 osób. </t>
    </r>
    <r>
      <rPr>
        <u/>
        <sz val="10"/>
        <color indexed="8"/>
        <rFont val="Calibri"/>
        <family val="2"/>
        <charset val="238"/>
      </rPr>
      <t>Zasięg międzynarodowy:</t>
    </r>
    <r>
      <rPr>
        <sz val="10"/>
        <color indexed="8"/>
        <rFont val="Calibri"/>
        <family val="2"/>
        <charset val="238"/>
      </rPr>
      <t xml:space="preserve"> Grune Woche - ok. 41 1731 odwiedzających, Dzień Św. Marcina w Brukseli to ok. 400 osób, dwa pozostałe wyjazdy zagraniczne - do Hesji 11 osób do Korei 6 osób. </t>
    </r>
    <r>
      <rPr>
        <u/>
        <sz val="10"/>
        <color indexed="8"/>
        <rFont val="Calibri"/>
        <family val="2"/>
        <charset val="238"/>
      </rPr>
      <t xml:space="preserve">Zasięg lokalny/regionalny: </t>
    </r>
    <r>
      <rPr>
        <sz val="10"/>
        <color indexed="8"/>
        <rFont val="Calibri"/>
        <family val="2"/>
        <charset val="238"/>
      </rPr>
      <t xml:space="preserve">Dożynki w Liskowie ok. 500 osób oraz ok. 40 063 uczestników wydarzeń, organizowanych przez Partnerów KSOW, Szkolenie -  Forum Kobiet; Szkolenie nt  możliwości pozyskania funduszy unijnych Ostrzeszów. </t>
    </r>
    <r>
      <rPr>
        <b/>
        <sz val="10"/>
        <color indexed="8"/>
        <rFont val="Calibri"/>
        <family val="2"/>
        <charset val="238"/>
      </rPr>
      <t>2017 r.</t>
    </r>
    <r>
      <rPr>
        <sz val="10"/>
        <color indexed="8"/>
        <rFont val="Calibri"/>
        <family val="2"/>
        <charset val="238"/>
      </rPr>
      <t xml:space="preserve"> </t>
    </r>
    <r>
      <rPr>
        <u/>
        <sz val="10"/>
        <color indexed="8"/>
        <rFont val="Calibri"/>
        <family val="2"/>
        <charset val="238"/>
      </rPr>
      <t xml:space="preserve">Zasięg międzynarodowy: </t>
    </r>
    <r>
      <rPr>
        <sz val="10"/>
        <color indexed="8"/>
        <rFont val="Calibri"/>
        <family val="2"/>
        <charset val="238"/>
      </rPr>
      <t>Grune Woche ok 401650 osób, Miedzynarodowe Targi Turystyczner we Wrocławiu ok. 10599, Festyn Kraju Związkowego Hesja Dzień Hesji - Rüsselsheim ok 1 400 000 osób, Dzień Świętego Marcina w Brukseli (wyjazd studyjny) - 10 osób, Wyjazd szkoleniowo-studyjny dla przedstawicieli LGD do g. Amtsberg - 32 osoby. Z</t>
    </r>
    <r>
      <rPr>
        <u/>
        <sz val="10"/>
        <color indexed="8"/>
        <rFont val="Calibri"/>
        <family val="2"/>
        <charset val="238"/>
      </rPr>
      <t>asięg krajowy:</t>
    </r>
    <r>
      <rPr>
        <sz val="10"/>
        <color indexed="8"/>
        <rFont val="Calibri"/>
        <family val="2"/>
        <charset val="238"/>
      </rPr>
      <t xml:space="preserve"> Dożynki Prezydenckie Spała ok. 8 000 uczestników, Targi Smaki Regionów ok. 40 000 odwiedzających. </t>
    </r>
    <r>
      <rPr>
        <u/>
        <sz val="10"/>
        <color indexed="8"/>
        <rFont val="Calibri"/>
        <family val="2"/>
        <charset val="238"/>
      </rPr>
      <t>Zasięg lokalny/regionalny:</t>
    </r>
    <r>
      <rPr>
        <sz val="10"/>
        <color indexed="8"/>
        <rFont val="Calibri"/>
        <family val="2"/>
        <charset val="238"/>
      </rPr>
      <t xml:space="preserve"> Konferencja pszczelarzy ok. 166 osób, Wyjazd studyjny samorządowców z Wlkp do woj. świętokrzyskiego - 40 osób, IV Świeto zupy w Borui Nowej ok. 4 000 uczestników, Dożynki Archidecezjalno-Wojewódzkie w Gnieźnie</t>
    </r>
    <r>
      <rPr>
        <b/>
        <sz val="10"/>
        <color indexed="8"/>
        <rFont val="Calibri"/>
        <family val="2"/>
        <charset val="238"/>
      </rPr>
      <t xml:space="preserve"> </t>
    </r>
    <r>
      <rPr>
        <sz val="10"/>
        <color indexed="8"/>
        <rFont val="Calibri"/>
        <family val="2"/>
        <charset val="238"/>
      </rPr>
      <t xml:space="preserve">500 osób, Niedziela z funduszami Unijnymi w aspekcie 750 lecia Dubina ok. 3000 uczestników, 18 osób (wyjazd studyjny dla dziennikarzy niemieckich)  oraz 226 osób  w ramach szkoleń realizowanych w ramach PK (szkolenie dla LGD z poddziałanie 19.2 oraz dla beneficjentów w zakresie PZP) oraz ok. 24 607 uczestników wydarzeń realizowanych przez partnerów KSOW. </t>
    </r>
  </si>
  <si>
    <r>
      <rPr>
        <b/>
        <sz val="10"/>
        <color theme="1"/>
        <rFont val="Calibri"/>
        <family val="2"/>
        <charset val="238"/>
        <scheme val="minor"/>
      </rPr>
      <t>2015r</t>
    </r>
    <r>
      <rPr>
        <sz val="10"/>
        <color theme="1"/>
        <rFont val="Calibri"/>
        <family val="2"/>
        <charset val="238"/>
        <scheme val="minor"/>
      </rPr>
      <t xml:space="preserve">. - Inne: Publikacja "Wzorowa PROWincja" -  Dobre praktyki wykorzystania PROW 2007-2013 w województwie wielkopolskim.  </t>
    </r>
    <r>
      <rPr>
        <b/>
        <sz val="10"/>
        <color theme="1"/>
        <rFont val="Calibri"/>
        <family val="2"/>
        <charset val="238"/>
        <scheme val="minor"/>
      </rPr>
      <t>2016 r.</t>
    </r>
    <r>
      <rPr>
        <sz val="10"/>
        <color theme="1"/>
        <rFont val="Calibri"/>
        <family val="2"/>
        <charset val="238"/>
        <scheme val="minor"/>
      </rPr>
      <t xml:space="preserve"> - publikacje w prasie - Monitor Wielkopolski, Nasza EuroProwincja, 16 publikacji w ramach PK, 1 projekt Partnera pn. "Wielkopolska wieś w zgodzie z zasadami gospodarki niskoemisyjnej - praktyczny Poradnik z nową perspektywą finansową" </t>
    </r>
    <r>
      <rPr>
        <b/>
        <sz val="10"/>
        <color theme="1"/>
        <rFont val="Calibri"/>
        <family val="2"/>
        <charset val="238"/>
        <scheme val="minor"/>
      </rPr>
      <t xml:space="preserve">2017 r. </t>
    </r>
    <r>
      <rPr>
        <sz val="10"/>
        <color theme="1"/>
        <rFont val="Calibri"/>
        <family val="2"/>
        <charset val="238"/>
        <scheme val="minor"/>
      </rPr>
      <t xml:space="preserve">- Monitor Wielkopolski, Nasza EuroProwincja, 15 publikacji/materiałów w prasie w ramach PK oraz 2 publikacje realizowane przez Partnerów KSOW (Przemęt Szparagi publikacja pokonferencyjna oraz Gmina Miłosław - ogłoszenie w prasie). </t>
    </r>
  </si>
  <si>
    <r>
      <rPr>
        <b/>
        <sz val="10"/>
        <color indexed="8"/>
        <rFont val="Calibri"/>
        <family val="2"/>
        <charset val="238"/>
      </rPr>
      <t xml:space="preserve">2015r. </t>
    </r>
    <r>
      <rPr>
        <sz val="10"/>
        <color indexed="8"/>
        <rFont val="Calibri"/>
        <family val="2"/>
        <charset val="238"/>
      </rPr>
      <t xml:space="preserve">- Konkursy: Plebiscyt "Super Rolnik Wielkopolski" oraz Plebiscyt dla Kół Gospodyń Wiejskich . </t>
    </r>
    <r>
      <rPr>
        <b/>
        <sz val="10"/>
        <color indexed="8"/>
        <rFont val="Calibri"/>
        <family val="2"/>
        <charset val="238"/>
      </rPr>
      <t>2016 r.</t>
    </r>
    <r>
      <rPr>
        <sz val="10"/>
        <color indexed="8"/>
        <rFont val="Calibri"/>
        <family val="2"/>
        <charset val="238"/>
      </rPr>
      <t xml:space="preserve"> - 5 spotów reklamowych w radio - Radio Centrum, Radio Merkury, Radio Sud Kępno, Radio Elka, Radio RMF MAXX Piła; Konkursy: Wielkopolski Rolnik Roku; 3 projekty Partnerów pn. "IV edycja konkursu "Fundusz sołecki - najlepsza  inicjatywa" skierowanego do sołectw z terenu województwa wielkopolskiego"  oraz Konkursy: Plebiscyt "Super Rolnik Wielkopolski 2016" oraz Plebiscyt Koła Gospodyń Wiejskich. </t>
    </r>
    <r>
      <rPr>
        <b/>
        <sz val="10"/>
        <color indexed="8"/>
        <rFont val="Calibri"/>
        <family val="2"/>
        <charset val="238"/>
      </rPr>
      <t>2017 r.</t>
    </r>
    <r>
      <rPr>
        <sz val="10"/>
        <color indexed="8"/>
        <rFont val="Calibri"/>
        <family val="2"/>
        <charset val="238"/>
      </rPr>
      <t xml:space="preserve"> -  Wielkopolski Rolnik Roku. 1 operacja Partnera KSOW V edycja konkursu "Fundusz sołecki - najlepsza  inicjatywa" skierowanego do sołectw z terenu województwa wielkopolskiego"  </t>
    </r>
  </si>
  <si>
    <r>
      <rPr>
        <b/>
        <sz val="10"/>
        <color theme="1"/>
        <rFont val="Calibri"/>
        <family val="2"/>
        <charset val="238"/>
      </rPr>
      <t xml:space="preserve">2015r. </t>
    </r>
    <r>
      <rPr>
        <sz val="10"/>
        <color theme="1"/>
        <rFont val="Calibri"/>
        <family val="2"/>
        <charset val="238"/>
      </rPr>
      <t xml:space="preserve">- Dobre praktyki wykorzystania PROW 2007-2013 w województwie wielkopolskim. </t>
    </r>
  </si>
  <si>
    <r>
      <rPr>
        <b/>
        <sz val="10"/>
        <color theme="1"/>
        <rFont val="Calibri"/>
        <family val="2"/>
        <charset val="238"/>
        <scheme val="minor"/>
      </rPr>
      <t>2015r.-</t>
    </r>
    <r>
      <rPr>
        <sz val="10"/>
        <color theme="1"/>
        <rFont val="Calibri"/>
        <family val="2"/>
        <charset val="238"/>
        <scheme val="minor"/>
      </rPr>
      <t xml:space="preserve">Grupa Robocza ds. KSOW - 2 spotkania związane z PO. </t>
    </r>
    <r>
      <rPr>
        <b/>
        <sz val="10"/>
        <color theme="1"/>
        <rFont val="Calibri"/>
        <family val="2"/>
        <charset val="238"/>
        <scheme val="minor"/>
      </rPr>
      <t>2016 r.-</t>
    </r>
    <r>
      <rPr>
        <sz val="10"/>
        <color theme="1"/>
        <rFont val="Calibri"/>
        <family val="2"/>
        <charset val="238"/>
        <scheme val="minor"/>
      </rPr>
      <t xml:space="preserve"> 6 obiegowych spotkań  - 5 - związane z monitorowaniem i sprawozdawczością, 1 -  akceptacja zmian PO 2016-2017 w 2016r.</t>
    </r>
    <r>
      <rPr>
        <b/>
        <sz val="10"/>
        <color theme="1"/>
        <rFont val="Calibri"/>
        <family val="2"/>
        <charset val="238"/>
        <scheme val="minor"/>
      </rPr>
      <t xml:space="preserve"> 2017r.-</t>
    </r>
    <r>
      <rPr>
        <sz val="10"/>
        <color theme="1"/>
        <rFont val="Calibri"/>
        <family val="2"/>
        <charset val="238"/>
        <scheme val="minor"/>
      </rPr>
      <t xml:space="preserve"> 3 posiedzenia i 5 posiedzeń obiegowych.</t>
    </r>
  </si>
  <si>
    <r>
      <rPr>
        <b/>
        <sz val="10"/>
        <color indexed="8"/>
        <rFont val="Calibri"/>
        <family val="2"/>
        <charset val="238"/>
      </rPr>
      <t>2015r.</t>
    </r>
    <r>
      <rPr>
        <sz val="10"/>
        <color indexed="8"/>
        <rFont val="Calibri"/>
        <family val="2"/>
        <charset val="238"/>
      </rPr>
      <t xml:space="preserve">-Grupa Robocza ds. KSOW - 2 spotkania związane z PO. </t>
    </r>
    <r>
      <rPr>
        <b/>
        <sz val="10"/>
        <color indexed="8"/>
        <rFont val="Calibri"/>
        <family val="2"/>
        <charset val="238"/>
      </rPr>
      <t>2016 r</t>
    </r>
    <r>
      <rPr>
        <sz val="10"/>
        <color indexed="8"/>
        <rFont val="Calibri"/>
        <family val="2"/>
        <charset val="238"/>
      </rPr>
      <t xml:space="preserve">. 6 obiegowych spotkań  </t>
    </r>
    <r>
      <rPr>
        <b/>
        <sz val="10"/>
        <color indexed="8"/>
        <rFont val="Calibri"/>
        <family val="2"/>
        <charset val="238"/>
      </rPr>
      <t>2017 r</t>
    </r>
    <r>
      <rPr>
        <sz val="10"/>
        <color indexed="8"/>
        <rFont val="Calibri"/>
        <family val="2"/>
        <charset val="238"/>
      </rPr>
      <t>. 3 posiedzenia (styczeń, maj, grudzień)  i 5 posiedzeń obiegowych (kwiecień, 2 x czerwiec, sierpień, listopad)</t>
    </r>
  </si>
  <si>
    <r>
      <rPr>
        <b/>
        <sz val="10"/>
        <color theme="1"/>
        <rFont val="Calibri"/>
        <family val="2"/>
        <charset val="238"/>
        <scheme val="minor"/>
      </rPr>
      <t xml:space="preserve">2015r. </t>
    </r>
    <r>
      <rPr>
        <sz val="10"/>
        <color theme="1"/>
        <rFont val="Calibri"/>
        <family val="2"/>
        <charset val="238"/>
        <scheme val="minor"/>
      </rPr>
      <t xml:space="preserve">- Cykl 6 szkoleń w subregionach Województwa Wielkopolskiego dla potencjalnych beneficjentów PROW 2014-2020 oraz 3 spotkania szkoleniowe dla LGD (w ramach Planu Komunikacyjnego). </t>
    </r>
    <r>
      <rPr>
        <b/>
        <sz val="10"/>
        <color theme="1"/>
        <rFont val="Calibri"/>
        <family val="2"/>
        <charset val="238"/>
        <scheme val="minor"/>
      </rPr>
      <t>2016 r</t>
    </r>
    <r>
      <rPr>
        <sz val="10"/>
        <color theme="1"/>
        <rFont val="Calibri"/>
        <family val="2"/>
        <scheme val="minor"/>
      </rPr>
      <t>. 10 szkoleń w ramach PK i PO - operacje własne, 42 szkolenia w ramach wniosków Partnerów, 3 wyjazdy studyjne w ramach PO (do woj. podlaskiego, z woj. lubuskiego i do Brukseli Św. Marcin),  Szkolenie -  Forum Kobiet; Szkolenie nt  możliwości pozyskania funduszy unijnych Ostrzeszów.</t>
    </r>
    <r>
      <rPr>
        <b/>
        <sz val="10"/>
        <color theme="1"/>
        <rFont val="Calibri"/>
        <family val="2"/>
        <charset val="238"/>
        <scheme val="minor"/>
      </rPr>
      <t xml:space="preserve"> 2017 r.</t>
    </r>
    <r>
      <rPr>
        <sz val="10"/>
        <color theme="1"/>
        <rFont val="Calibri"/>
        <family val="2"/>
        <scheme val="minor"/>
      </rPr>
      <t xml:space="preserve"> Spotkanie dotyczące realizacji operacji w roku 2017 przez partnerów KSOW w ramach PO KSOW 2016-2017, Spotkanie Konsultacyjno-szkoleniowe dotyczące wdrażania poddziałania 19.2 i 19.3, Szkolenie dotyczące wypełniania wniosków o płatność na operacje typu "Budowa lub modernizacja dróg lokalnych", Szkolenie dotyczące naboru wniosków na operacje "inwestycja w targowiska lub obiekty budowlane przeznaczone na cele promocji lokalnych produktów", Szkolenie dotyczące możliwości pozyskania funduszy z PROW 2014-2020, S</t>
    </r>
    <r>
      <rPr>
        <sz val="10"/>
        <color theme="1"/>
        <rFont val="Calibri"/>
        <family val="2"/>
        <charset val="238"/>
        <scheme val="minor"/>
      </rPr>
      <t>zkolenie dla LGD dot. 19.2, Szkolenie dla beneficjentów oraz potencjalnych beneficjentów PZP, 14 szkoleń/warszatów oraz 4 wyjazdy studyjne realizowane przez partnerów KSOW oraz 4 wyjazdy studyjne realizowane przez JR KSOW woj. wlkp. (do woj. świętokrzyskiego, do Gminy Amtsberg, do Brukseli dzień Św. Marcina oraz wizyta dziennikarzy niemieckich w Wlkp.)</t>
    </r>
  </si>
  <si>
    <r>
      <rPr>
        <b/>
        <sz val="10"/>
        <color indexed="8"/>
        <rFont val="Calibri"/>
        <family val="2"/>
        <charset val="238"/>
      </rPr>
      <t xml:space="preserve">2015 r. </t>
    </r>
    <r>
      <rPr>
        <sz val="10"/>
        <color indexed="8"/>
        <rFont val="Calibri"/>
        <family val="2"/>
        <charset val="238"/>
      </rPr>
      <t xml:space="preserve">-Przedstawiciele UMWW, Gmin , Sołectw w łącznej liczbie 539 osób. </t>
    </r>
    <r>
      <rPr>
        <b/>
        <sz val="10"/>
        <color indexed="8"/>
        <rFont val="Calibri"/>
        <family val="2"/>
        <charset val="238"/>
      </rPr>
      <t>2016 r.</t>
    </r>
    <r>
      <rPr>
        <sz val="10"/>
        <color indexed="8"/>
        <rFont val="Calibri"/>
        <family val="2"/>
        <charset val="238"/>
      </rPr>
      <t xml:space="preserve"> - liczba uczestników szkoleń, organizowanych w ramach Planu Komunikacyjnego oraz operacji własnych to 756 osób, natomiast liczba uczestników szkoleń, organizowanych w ramach projektów Partnerów KSOW to około 4543 osoby, liczba uczestników wizyt studyjnych to 56 osób,  Szkolenie -  Forum Kobiet; Szkolenie nt  możliwości pozyskania funduszy unijnych Ostrzeszów. </t>
    </r>
    <r>
      <rPr>
        <b/>
        <sz val="10"/>
        <color indexed="8"/>
        <rFont val="Calibri"/>
        <family val="2"/>
        <charset val="238"/>
      </rPr>
      <t>2017 r.</t>
    </r>
    <r>
      <rPr>
        <sz val="10"/>
        <color indexed="8"/>
        <rFont val="Calibri"/>
        <family val="2"/>
        <charset val="238"/>
      </rPr>
      <t xml:space="preserve"> 64 - członkowie LGD, 170 - gminy, powiaty, partnerzy KSOW, 119- osoby fizyczne i pracownicy UMWW, Szkolenia dla LGD dotyczace poddziałania 19.2 oraz dla beneficjentów w zakresie PZP - 226 osób, szkolenia/warsztaty oraz wyjazdy studyjne zgodne z PO (operacje własne) 100 osób, szkolenia/warsztay oraz wyjazdy studyjne organizoawne przez parterów KSOW - 767 osób oraz </t>
    </r>
    <r>
      <rPr>
        <sz val="10"/>
        <color theme="1"/>
        <rFont val="Calibri"/>
        <family val="2"/>
        <charset val="238"/>
      </rPr>
      <t xml:space="preserve">4 wyjazdy studyjne realizowane przez JR KSOW woj. wlkp. (do woj. świętokrzyskiego - 35, do Gminy Amtsberg - 22 osoby, do Brukseli dzień Św. Marcina - 6 osób (LGD) oraz wizyta dziennikarzy niemieckich w Wlkp. - 3 osoby). </t>
    </r>
  </si>
  <si>
    <r>
      <rPr>
        <b/>
        <sz val="11"/>
        <color theme="1"/>
        <rFont val="Calibri"/>
        <family val="2"/>
        <charset val="238"/>
        <scheme val="minor"/>
      </rPr>
      <t>Koszty funkcjonowania to</t>
    </r>
    <r>
      <rPr>
        <sz val="11"/>
        <color theme="1"/>
        <rFont val="Calibri"/>
        <family val="2"/>
        <charset val="238"/>
        <scheme val="minor"/>
      </rPr>
      <t xml:space="preserve">: </t>
    </r>
    <r>
      <rPr>
        <b/>
        <sz val="11"/>
        <color theme="1"/>
        <rFont val="Calibri"/>
        <family val="2"/>
        <charset val="238"/>
        <scheme val="minor"/>
      </rPr>
      <t>2015 rok</t>
    </r>
    <r>
      <rPr>
        <sz val="11"/>
        <color theme="1"/>
        <rFont val="Calibri"/>
        <family val="2"/>
        <charset val="238"/>
        <scheme val="minor"/>
      </rPr>
      <t xml:space="preserve"> - wynagrodzenia pracownicze oraz delegacje w ramach II Schematu PT PROW 2014-2020. </t>
    </r>
    <r>
      <rPr>
        <b/>
        <sz val="11"/>
        <color theme="1"/>
        <rFont val="Calibri"/>
        <family val="2"/>
        <charset val="238"/>
        <scheme val="minor"/>
      </rPr>
      <t>2016 rok</t>
    </r>
    <r>
      <rPr>
        <sz val="11"/>
        <color theme="1"/>
        <rFont val="Calibri"/>
        <family val="2"/>
        <charset val="238"/>
        <scheme val="minor"/>
      </rPr>
      <t xml:space="preserve"> - wynagrodzenia pracownicze oraz delegacje w ramach II Schematu PT PROW 2014-2020; </t>
    </r>
    <r>
      <rPr>
        <b/>
        <sz val="11"/>
        <color theme="1"/>
        <rFont val="Calibri"/>
        <family val="2"/>
        <charset val="238"/>
        <scheme val="minor"/>
      </rPr>
      <t>2017 rok</t>
    </r>
    <r>
      <rPr>
        <sz val="11"/>
        <color theme="1"/>
        <rFont val="Calibri"/>
        <family val="2"/>
        <charset val="238"/>
        <scheme val="minor"/>
      </rPr>
      <t xml:space="preserve"> - wynagrodzenia pracownicze oraz delegacje w ramach II Schematu PT PROW 2014-2020, przechowanie i ubezpieczenie przedmiotów z wikliny, koszty organizacji spotkań Wojewódzkiej GR oraz koszty udziału w Krajowej GR ds. KSOW.</t>
    </r>
  </si>
  <si>
    <r>
      <rPr>
        <b/>
        <sz val="15"/>
        <color theme="1"/>
        <rFont val="Calibri"/>
        <family val="2"/>
        <charset val="238"/>
        <scheme val="minor"/>
      </rPr>
      <t>KOMENTARZE dotyczące tabeli 8. Budżet sieci w EUR:</t>
    </r>
    <r>
      <rPr>
        <sz val="15"/>
        <color theme="1"/>
        <rFont val="Calibri"/>
        <family val="2"/>
        <charset val="238"/>
        <scheme val="minor"/>
      </rPr>
      <t xml:space="preserve"> Koszty związane z działalnością/ planem działania: w tym wydarzenia (ujęto koszty z zakresu Planu Komunikacyjnego, Planu Operacyjnego (operacje partnerów oraz operacje własne) bez kosztów szkoleń w ramach PK, które zawarte zostały w pozycji inne działania tab.3,4,5,6,7);Koszty wyjazdów studyjnych realizowanych przez Partnerów oraz JR KSOW woj. wlkp. zostały zawarte w poz. dotyczącej wydarzeń.  Koszty z zakresu działań komunikacji dotyczyły odpowiednio: Biuletynu informacyjnego "Nasza euroPROWincja", Monitora Wielkopolskiego, produkcji i emisji spotów telewizyjnych i radiowych oraz publikacji materiałów w prasie.</t>
    </r>
  </si>
  <si>
    <t>KSOW Województwa Zachodniopomorskiego</t>
  </si>
  <si>
    <t>Operacje własne o zasięgu krajowym w roku 2015: 1. Natura Food - 1 wydarzenie                                                                                                                                                                                                                      Operacje własne o zasięgu krajowym w roku 2016:
1. Dożynki prezydenckie w Spale - 1 wydarzenie, 2. Smaki Regionów - Poznań - 1 wydarzenie, 3. Natura Food - 1 wydarzenie. Operacje własne o zasięgu międzynarodowym: 1. Grune Woche 2016 - 1 wydarzenie.
Operacje własne o zasięgu międzynarodowym w roku 2017: 1. Grune Woche 2017- 1 wydarzenie, 9 wystawców i ok. 400 000 odwiedzających, 2. Finał Regat Tall Ship Races - 12 wystawców i ok. 300 000 odwiedzających, 3. Aleja Zachodniopomorskie Smaki podczas Festiwalu Słowian i Wikingów - 5 wystawców i ok. 10 000 odwiedzających.</t>
  </si>
  <si>
    <t>W przypadku imprez masowych, otwartych: Piknik nad Odrą, Jarmark Jakubowy, Święto Mleka i Zwierząt Hodowlanych organizowane przez Gminę Stare Czarnowo oraz Konkurs "Smaki Ryb Odrzańskich" w ramach Żabnickiego Lata z Rybką dane dot. liczby osób odwiedzających uzyskano do organizatorów. Liczby te to odpowiednio: 50000, 50000, 5000 i 1500 osób. Inne imprezy o charakterze masowym - liczba uczestników podawana na pdostawie informacji udostępnianych przez organizatorów.</t>
  </si>
  <si>
    <t>"Inne". Rok 2015 - ulotki informacyjne dotyczące działań wdrażanych w ramach PROW 2014-2020 w województwie zachodniopomorskim, listowniki oraz publikacja artykułu w czasopiśmie branżowym. Rok 2016: publikacja artykułu poświęconego działaniom PROW 2014-2020, druk ulotek poświęconych PROW 2014-2020 oraz listowników</t>
  </si>
  <si>
    <t>Wojewódzka Grupa Robocza ds. KSOW zajmuje się opiniowaniem projektów uchwał dotyczących całego zakresu działań KSOW.</t>
  </si>
  <si>
    <t>Koszty funkcjonowania w roku 2015: 157 339,37 zł. Koszty funkcjonowania w roku 2016: 209 766,89 zł. Koszty funkcjonowania w 2017: 215 674,28 zł</t>
  </si>
  <si>
    <t>Centrum Doradztwa Rolniczego</t>
  </si>
  <si>
    <r>
      <rPr>
        <b/>
        <sz val="10"/>
        <color indexed="8"/>
        <rFont val="Calibri"/>
        <family val="2"/>
        <charset val="238"/>
      </rPr>
      <t xml:space="preserve">Krajowy zasięg 2015: 
</t>
    </r>
    <r>
      <rPr>
        <sz val="10"/>
        <color indexed="8"/>
        <rFont val="Calibri"/>
        <family val="2"/>
        <charset val="238"/>
      </rPr>
      <t>Konferencja</t>
    </r>
    <r>
      <rPr>
        <b/>
        <sz val="10"/>
        <color indexed="8"/>
        <rFont val="Calibri"/>
        <family val="2"/>
        <charset val="238"/>
      </rPr>
      <t xml:space="preserve">
Międzynarodowy zasięg 2016:    </t>
    </r>
    <r>
      <rPr>
        <sz val="10"/>
        <color indexed="8"/>
        <rFont val="Calibri"/>
        <family val="2"/>
        <charset val="238"/>
      </rPr>
      <t xml:space="preserve">                                                                                                                                                                                                                                                                                    1. XXII Międzynarodowe Targi Techniki Rolniczej AGROTECH w Kielcach                                                                                                                                                                                        2. Centralna Wystawa Rolnicza w Monachium (Niemcy)                                                                                                                                                                                                                            3. Wyspa innowacji podczas Międzynarodowych targów rolniczych w Nadarzyńskim Ptaku                                                                                                                                                                                                                                                                                                                                                                                                  </t>
    </r>
    <r>
      <rPr>
        <b/>
        <sz val="10"/>
        <color indexed="8"/>
        <rFont val="Calibri"/>
        <family val="2"/>
        <charset val="238"/>
      </rPr>
      <t xml:space="preserve">Krajowy zasięg 2016:  </t>
    </r>
    <r>
      <rPr>
        <sz val="10"/>
        <color indexed="8"/>
        <rFont val="Calibri"/>
        <family val="2"/>
        <charset val="238"/>
      </rPr>
      <t xml:space="preserve">                                                                                                                                                                                                                                                                                                                 1. Wdrażanie innowacyjnych działań rolniczych przez członków Ogólnopolskiej Sieci Zagród Edukacyjnych.                                                                                                               2. Wyniki badań naukowych umożliwiajacych wprowadzenie nowoczesnych rozwiazań w gospodarstwie ekologicznym.                                                                      3. Praktyczne wykorzystanie badań naukowych we wdrożeniu innowacji w produkcji ogrodniczej.                                                                                                                  4. Nauka dla praktyki - innowacyjne rozwiazania dla ekologicznej produkcji rolnej.                                                                                                                                                          5. Innowacyjny rozwój energetyki prosumenckiej na obszarach wiejskich.                                                                                                                                                                       6. Innowacje w rolnictwie - kluczowe dla wsparcia inwestycji i konkurencyjności.                                                                                                                                                            7. Innowacyjne gospodarowanie zasobami wody w rolnictwie.                                                                                                                                                                                                               8. Forum wiedzy i innowacji. 
</t>
    </r>
    <r>
      <rPr>
        <b/>
        <sz val="10"/>
        <color indexed="8"/>
        <rFont val="Calibri"/>
        <family val="2"/>
        <charset val="238"/>
      </rPr>
      <t>Międzynarodowy zasięg 2017:</t>
    </r>
    <r>
      <rPr>
        <sz val="10"/>
        <color indexed="8"/>
        <rFont val="Calibri"/>
        <family val="2"/>
        <charset val="238"/>
      </rPr>
      <t xml:space="preserve">
1. XXIII Międzynarodowe Targi Techniki Rolniczej AGROTECH w Kielcach, 
</t>
    </r>
    <r>
      <rPr>
        <b/>
        <sz val="10"/>
        <color indexed="8"/>
        <rFont val="Calibri"/>
        <family val="2"/>
        <charset val="238"/>
      </rPr>
      <t>Krajowy zasięg 2017:</t>
    </r>
    <r>
      <rPr>
        <b/>
        <sz val="10"/>
        <color rgb="FFFF0000"/>
        <rFont val="Calibri"/>
        <family val="2"/>
        <charset val="238"/>
      </rPr>
      <t xml:space="preserve"> </t>
    </r>
    <r>
      <rPr>
        <sz val="10"/>
        <color rgb="FFFF0000"/>
        <rFont val="Calibri"/>
        <family val="2"/>
        <charset val="238"/>
      </rPr>
      <t xml:space="preserve">
</t>
    </r>
    <r>
      <rPr>
        <sz val="10"/>
        <rFont val="Calibri"/>
        <family val="2"/>
        <charset val="238"/>
      </rPr>
      <t>1. Innowacyjność obszarów wiejskich na terenach zurbanizowanych - konferencja
2. Praktyczne wykorzystanie wyników badań naukowych we wdrażaniu innowacji w produkcji ogrodniczej - konferencja
3. II Forum wiedzy i innowacji - konferencja
4. Szkolenie "Gospodarstwa opiekuńcze - budowanie sieci współpracy" - 1 szkolenie dla doradców, 48 szkoleń dla rolników
5. Szkolenie: Wykorzystanie innowacyjnych technologii w rolnictwie precyzyjnym - 2 szkolenia
6. Szkolenia: "Spotkania informacyjno-szkoleniowe dla pracowników WODR wykonujących zadania na rzecz SIR" - 2 szkolenia
7. Szkolenia: "Partnerstwo dla rozwoju" - 2 szkolenia</t>
    </r>
  </si>
  <si>
    <r>
      <rPr>
        <b/>
        <sz val="10"/>
        <color indexed="8"/>
        <rFont val="Calibri"/>
        <family val="2"/>
        <charset val="238"/>
      </rPr>
      <t xml:space="preserve">Międzynarodowy zasięg 2016:   </t>
    </r>
    <r>
      <rPr>
        <sz val="10"/>
        <color indexed="8"/>
        <rFont val="Calibri"/>
        <family val="2"/>
        <charset val="238"/>
      </rPr>
      <t xml:space="preserve">                                                                                                                                                                                                                                                                                              1. 64330 to liczba odwiedzających XII Międzynarodowe Targi Techniki Rolniczej AGROTECH w Kielcach (źródło: http://www.targikielce.pl/pl/agrotech.htm) - dotyczy stoiska Wiedza i innowacje, 
2. 2.700 sztuk ulotek opisujących SIR rozdanych podczas Centralnej Wystawy Rolniczej w Monachium,                                                                                                                           3. Wyspa innowacji podczas Międzynarodowych targów rolniczych w Nadarzyńskim Ptaku - brak danych dotyczących liczby odwiedzających - nawiązano kontakty z 20 wystawcami (cel: zachęcenie do rejestracji w bazie Partnerów SIR, przedstawienie możliwości realizacji oporacji w ramach PO - Działanie 5, zachęcenie do przystąpienia do Działania "Współpraca")                                                                                                                                                                                                             </t>
    </r>
    <r>
      <rPr>
        <b/>
        <sz val="10"/>
        <color indexed="8"/>
        <rFont val="Calibri"/>
        <family val="2"/>
        <charset val="238"/>
      </rPr>
      <t xml:space="preserve">Krajowy zasięg 2016:  </t>
    </r>
    <r>
      <rPr>
        <sz val="10"/>
        <color indexed="8"/>
        <rFont val="Calibri"/>
        <family val="2"/>
        <charset val="238"/>
      </rPr>
      <t xml:space="preserve">                                                                                                                                                                                                                                                                                                                 1. Wdrażanie innowacyjnych działań rolniczych przez członków Ogólnopolskiej Sieci Zagród Edukacyjnych - 270 uczestników                                                                                                            2. Wyniki badań naukowych umożliwiajacych wprowadzenie nowoczesnych rozwiazań w gospodarstwie ekologicznym - 55 uczestników                                                                      3. Praktyczne wykorzystanie badań naukowych we wdrożeniu innowacji w produkcji ogrodniczej - 55 uczestników                                                                                                                  4. Nauka dla praktyki - innowacyjne rozwiazania dla ekologicznej produkcji rolnej - 94 uczestników                                                                                                                                                         5. Innowacyjny rozwój energetyki prosumenckiej na obszarach wiejskich - 70 uczestników                                                                                                                                                                       6. Innowacje w rolnictwie - kluczowe dla wsparcia inwestycji i konkurencyjności - 235 uczestników                                                                                                                                                            7. Innowacyjne gospodarowanie zasobami wody w rolnictwie - 220 uczestników                                                                                                                                                                                                              8. Forum wiedzy i innowacji - 220 uczestników  
</t>
    </r>
    <r>
      <rPr>
        <b/>
        <sz val="10"/>
        <color indexed="8"/>
        <rFont val="Calibri"/>
        <family val="2"/>
        <charset val="238"/>
      </rPr>
      <t xml:space="preserve">Międzynarodowy zasięg 2017:  
1. </t>
    </r>
    <r>
      <rPr>
        <sz val="10"/>
        <color indexed="8"/>
        <rFont val="Calibri"/>
        <family val="2"/>
        <charset val="238"/>
      </rPr>
      <t xml:space="preserve">XXIII Międzynarodowe Targi Techniki Rolniczej AGROTECH w Kielcach - informacja o liczbie odwiedzających targi pobrana ze strony http://www.targikielce.pl/pl/agrotech.htm
</t>
    </r>
    <r>
      <rPr>
        <b/>
        <sz val="10"/>
        <color indexed="8"/>
        <rFont val="Calibri"/>
        <family val="2"/>
        <charset val="238"/>
      </rPr>
      <t xml:space="preserve">Krajowy zasięg 2017:  </t>
    </r>
    <r>
      <rPr>
        <sz val="10"/>
        <color indexed="8"/>
        <rFont val="Calibri"/>
        <family val="2"/>
        <charset val="238"/>
      </rPr>
      <t xml:space="preserve">
1. Innowacyjność obszarów wiejskich na terenach zurbanizowanych - konferencja - 259 uczestników ,
2. Praktyczne wykorzystanie wyników badań naukowych we wdrażaniu innowacji w produkcji ogrodniczej - konferencja - 58 uczestników 
3. II Forum wiedzy i innowacji - konferencja - 186 uczestników 
4. Szkolenie "Gospodarstwa opiekuńcze - budowanie sieci współpracy" - 1 szkolenie dla doradców, 48 szkoleń dla rolników
5. Szkolenie: Wykorzystanie innowacyjnych technologii w rolnictwie precyzyjnym - 2 szkolenia
6. Szkolenia: "Spotkania informacyjno-szkoleniowe dla pracowników WODR wykonujących zadania na rzecz SIR" - 2 szkolenia
7. Szkolenia: "Partnerstwo dla rozwoju" - 2 szkolenia    </t>
    </r>
  </si>
  <si>
    <t>Strona internetowa CDR nie daje możliwości sprawdzenia liczby unikalnych użytkowników strony</t>
  </si>
  <si>
    <t xml:space="preserve">Strona WWW nie daje możliwości sprawdzenia liczby  odwiedzin na stronie przekierowanych łącznie ze wszystkich mediów społecznościowych </t>
  </si>
  <si>
    <r>
      <rPr>
        <b/>
        <sz val="10"/>
        <color theme="1"/>
        <rFont val="Calibri"/>
        <family val="2"/>
        <charset val="238"/>
        <scheme val="minor"/>
      </rPr>
      <t>2016 rok</t>
    </r>
    <r>
      <rPr>
        <sz val="10"/>
        <color theme="1"/>
        <rFont val="Calibri"/>
        <family val="2"/>
        <charset val="238"/>
        <scheme val="minor"/>
      </rPr>
      <t xml:space="preserve"> - 148 artykułów - przetłumaczonych broszur EIP-AGRI - opublikowanych na Facebook (planowane wydanie broszury naich podstawie),  , ulotka 35000 szt. - dystrybuowana na terenie całego kraju podczas operacji realizowanych przez CDR i WODR oraz druk 7000 szt. tych samych ulotek w języku niemieckim (cel: dystrybucja podczas targów w Monachium) , 2 artykuły opublikowane e-biuletynie CDR;
</t>
    </r>
    <r>
      <rPr>
        <b/>
        <sz val="10"/>
        <color theme="1"/>
        <rFont val="Calibri"/>
        <family val="2"/>
        <charset val="238"/>
        <scheme val="minor"/>
      </rPr>
      <t xml:space="preserve">2017 rok: </t>
    </r>
    <r>
      <rPr>
        <sz val="10"/>
        <color theme="1"/>
        <rFont val="Calibri"/>
        <family val="2"/>
        <charset val="238"/>
        <scheme val="minor"/>
      </rPr>
      <t xml:space="preserve">
1. 65 artykułów opublikowanych na zakładce SIR (cdr.gov.pl) - funkcjonowanie, 
2. Ulotka (3000 egz.) - Idea i zasady tworzenia gospodarstw opiekuńczych na bazie gospodarstw rolnych </t>
    </r>
    <r>
      <rPr>
        <sz val="10"/>
        <rFont val="Calibri"/>
        <family val="2"/>
        <charset val="238"/>
        <scheme val="minor"/>
      </rPr>
      <t>(koszt poniesiony w ramach operacji "Gospodarstwa opiekuńcze..." - szkolenie)</t>
    </r>
    <r>
      <rPr>
        <sz val="10"/>
        <color theme="1"/>
        <rFont val="Calibri"/>
        <family val="2"/>
        <charset val="238"/>
        <scheme val="minor"/>
      </rPr>
      <t xml:space="preserve">
3. Broszura (2000 egz.) - Idea rolnictwa społecznego oraz wypracowanej przez CDR/O/Kraków koncepcji gospodarstw opiekuńczych (</t>
    </r>
    <r>
      <rPr>
        <sz val="10"/>
        <rFont val="Calibri"/>
        <family val="2"/>
        <charset val="238"/>
        <scheme val="minor"/>
      </rPr>
      <t>koszt poniesiony w ramach operacji "Gospodarstwa opiekuńcze... - szkolenie)</t>
    </r>
    <r>
      <rPr>
        <sz val="10"/>
        <color theme="1"/>
        <rFont val="Calibri"/>
        <family val="2"/>
        <charset val="238"/>
        <scheme val="minor"/>
      </rPr>
      <t xml:space="preserve">
4. Publikacja naukowa (300 egz.) "Innowacyjne metody gospodarowania zasobami wody w rolnictwie" - (w ramach kosztu konferencji o tym samym tytule)
5. Broszura (250 egz.) - Innowacyjność obszarów wiejskich na terenach zurbanizowanych (w ramach kosztu konferencji o tym samym tytule)
6. broszura (35.000 egz.) - Razem możemy więcej - działanie Współpraca w ramach PROW na lata 2014-2020 (10947,00 zł),
</t>
    </r>
  </si>
  <si>
    <t>2017: 
zmotowano 8 filmów w ramach operacji pn. Nowoczesność w rolnictwie. Były 2-krotnie emitowane w TVP po Agrobiznesie, oglądalność na poziomie 7,3 mln, dodatkowo filmy, o których mowa zostały nagrane na 1200 płytach DVD, które są sukcesywnie rozpowszechniane oraz udostępnione na kanale YouTube</t>
  </si>
  <si>
    <r>
      <rPr>
        <b/>
        <sz val="10"/>
        <color theme="1"/>
        <rFont val="Calibri"/>
        <family val="2"/>
        <charset val="238"/>
        <scheme val="minor"/>
      </rPr>
      <t>2016 rok:</t>
    </r>
    <r>
      <rPr>
        <sz val="10"/>
        <color theme="1"/>
        <rFont val="Calibri"/>
        <family val="2"/>
        <charset val="238"/>
        <scheme val="minor"/>
      </rPr>
      <t xml:space="preserve">
1. Badania sondażowe w ramach operacji "Kreowanie partnerstwa w ramach KSOW dla działania Współpraca PROW 2014-2020".
2. Operacja pn "Nowe problemy identyfikowane przez rolników w rolnictwie i na obszarach wiejskicjh - diagnoza obszarów problemowych oraz możliwości podejmowania wspólnych działań na rzecz tworzenia innowacyjnych rozwiazań w ramach działania Współpraca"
</t>
    </r>
    <r>
      <rPr>
        <b/>
        <sz val="10"/>
        <color theme="1"/>
        <rFont val="Calibri"/>
        <family val="2"/>
        <charset val="238"/>
        <scheme val="minor"/>
      </rPr>
      <t>2017 rok:</t>
    </r>
    <r>
      <rPr>
        <sz val="10"/>
        <color theme="1"/>
        <rFont val="Calibri"/>
        <family val="2"/>
        <charset val="238"/>
        <scheme val="minor"/>
      </rPr>
      <t xml:space="preserve">
1. Badanie sądażowe realizowane w ramach operacji "Gospodarstwa opiekuńcze - budowanie sieci współpracy" (koszt ujęty w 6)
</t>
    </r>
  </si>
  <si>
    <t>2016:
PRZETŁUMACZONO 148 ARTYKUŁÓW  (200 STRON)  ŚCIĄGNIĘTYCH ZE STRONY INTERNETOWEJ EIP AGRI I ROZPOWSZECHNIONO ……
2017:
Przetłumaczono broszury, magazyny oraz factsheet dostępne na stronie internetowej EIP-AGRI, które zostały przekazane do EIP-AGRI celem dostosowania layaut'ów polskich do opublikowanych przez EIP-AGRI. Polskie wersje magazynów i broszór mają być zamieszczone na stronie EIP-AGRI zaś factsheet's będą rozpowszechnione przy pomocy forów internetowych - 25 szt.</t>
  </si>
  <si>
    <r>
      <t xml:space="preserve"> AD. F180: "Wykorzystanie innowacji w gospodarstwie rolnym w zakresie ochrony środowiska" składała się z 2-ch wydarzeń, z której każda składała się ze szkolenia i wyjazdu studyjnego; "Od zaradności do przedsiębiorczości" składała się ze szkolenia 1-dniowego i 2-dniowego wyjazdu studyjnego, "Innowacje w rolnictwie - upowszechnienie badań naukowych i przykłady wdrożeń" dwa szkolenia z wyjazdami studyjnymi. AD G180: LICZBA DNI SZKOLENIOWYCH 17, LICZBA DNI OBEJMUJĄCYCH WYJAZDY STUDYJNE 16 DNI;
</t>
    </r>
    <r>
      <rPr>
        <b/>
        <sz val="10"/>
        <color theme="1"/>
        <rFont val="Calibri"/>
        <family val="2"/>
        <charset val="238"/>
        <scheme val="minor"/>
      </rPr>
      <t>2017 rok:</t>
    </r>
    <r>
      <rPr>
        <sz val="10"/>
        <color rgb="FFFF0000"/>
        <rFont val="Calibri"/>
        <family val="2"/>
        <charset val="238"/>
        <scheme val="minor"/>
      </rPr>
      <t xml:space="preserve">
</t>
    </r>
    <r>
      <rPr>
        <sz val="10"/>
        <rFont val="Calibri"/>
        <family val="2"/>
        <charset val="238"/>
        <scheme val="minor"/>
      </rPr>
      <t xml:space="preserve">1. Szkolenie "Gospodarstwa opiekuńcze - budowanie sieci współpracy" - w I etapie podczas </t>
    </r>
    <r>
      <rPr>
        <b/>
        <sz val="10"/>
        <rFont val="Calibri"/>
        <family val="2"/>
        <charset val="238"/>
        <scheme val="minor"/>
      </rPr>
      <t>3-dniowego szkolenia</t>
    </r>
    <r>
      <rPr>
        <sz val="10"/>
        <rFont val="Calibri"/>
        <family val="2"/>
        <charset val="238"/>
        <scheme val="minor"/>
      </rPr>
      <t xml:space="preserve"> przeszkolono 40 doradców rolnych, którzy w II etapie przeprowadzili</t>
    </r>
    <r>
      <rPr>
        <b/>
        <sz val="10"/>
        <rFont val="Calibri"/>
        <family val="2"/>
        <charset val="238"/>
        <scheme val="minor"/>
      </rPr>
      <t xml:space="preserve"> 48 szkoleń 1-dniowych</t>
    </r>
    <r>
      <rPr>
        <sz val="10"/>
        <rFont val="Calibri"/>
        <family val="2"/>
        <charset val="238"/>
        <scheme val="minor"/>
      </rPr>
      <t xml:space="preserve"> we wszystkich województwach, w których wzieło udział 988 osób (rolnicy),
2. Szkolenia z wyjazdem studyjnym: Wykorzystanie innowacji w gospodarstwie rolnym w zakresie ochrony środowiska -  </t>
    </r>
    <r>
      <rPr>
        <b/>
        <sz val="10"/>
        <rFont val="Calibri"/>
        <family val="2"/>
        <charset val="238"/>
        <scheme val="minor"/>
      </rPr>
      <t>2 szkolenia 2-dniowe</t>
    </r>
    <r>
      <rPr>
        <sz val="10"/>
        <rFont val="Calibri"/>
        <family val="2"/>
        <charset val="238"/>
        <scheme val="minor"/>
      </rPr>
      <t xml:space="preserve"> (15 doradców rolnych, 3 - LGD, 32 inna grupa mieszana),
3. Szkolenia z wyjazdem studyjnym: Innowacje w rolnictwie - upowszechnienie badań naukowych i przykłady wdrożeń - </t>
    </r>
    <r>
      <rPr>
        <b/>
        <sz val="10"/>
        <rFont val="Calibri"/>
        <family val="2"/>
        <charset val="238"/>
        <scheme val="minor"/>
      </rPr>
      <t>2 szkolenia 2-dniowe</t>
    </r>
    <r>
      <rPr>
        <sz val="10"/>
        <rFont val="Calibri"/>
        <family val="2"/>
        <charset val="238"/>
        <scheme val="minor"/>
      </rPr>
      <t xml:space="preserve"> (20 doradców rolnych, 29 inna grupa)
4. Szkolenie: Wykorzystanie innowacyjnych technologii w rolnictwie precyzyjnym - </t>
    </r>
    <r>
      <rPr>
        <b/>
        <sz val="10"/>
        <rFont val="Calibri"/>
        <family val="2"/>
        <charset val="238"/>
        <scheme val="minor"/>
      </rPr>
      <t>2 dni</t>
    </r>
    <r>
      <rPr>
        <sz val="10"/>
        <rFont val="Calibri"/>
        <family val="2"/>
        <charset val="238"/>
        <scheme val="minor"/>
      </rPr>
      <t xml:space="preserve"> (25 doradców, 21 inni),
5. Szkolenia: "Spotkania informacyjno-szkoleniowe dla pracowników WODR wykonujących zadania na rzecz SIR" -</t>
    </r>
    <r>
      <rPr>
        <b/>
        <sz val="10"/>
        <rFont val="Calibri"/>
        <family val="2"/>
        <charset val="238"/>
        <scheme val="minor"/>
      </rPr>
      <t xml:space="preserve"> 2 szkolenia/2 i 3 dni </t>
    </r>
    <r>
      <rPr>
        <sz val="10"/>
        <rFont val="Calibri"/>
        <family val="2"/>
        <charset val="238"/>
        <scheme val="minor"/>
      </rPr>
      <t xml:space="preserve">(65 pracowników SIR, 1 - inna grupa - księgowa z KPODR),
6. Szkolenia: "Partnerstwo dla rozwoju" - </t>
    </r>
    <r>
      <rPr>
        <b/>
        <sz val="10"/>
        <rFont val="Calibri"/>
        <family val="2"/>
        <charset val="238"/>
        <scheme val="minor"/>
      </rPr>
      <t>2 szkolenia 3-dniowe</t>
    </r>
    <r>
      <rPr>
        <sz val="10"/>
        <rFont val="Calibri"/>
        <family val="2"/>
        <charset val="238"/>
        <scheme val="minor"/>
      </rPr>
      <t xml:space="preserve"> (13 doradców rolnych, LGD - 3, 89 inna grupa)
7. Szkolenie z wyjazdem studyjnym: "Współpraca podmiotów sfery B+R oraz publicznego doradztwa rolniczego na rzecz tworzenia i upowszechniania innowacji rolniczych" -</t>
    </r>
    <r>
      <rPr>
        <b/>
        <sz val="10"/>
        <rFont val="Calibri"/>
        <family val="2"/>
        <charset val="238"/>
        <scheme val="minor"/>
      </rPr>
      <t xml:space="preserve"> 3 dni</t>
    </r>
    <r>
      <rPr>
        <sz val="10"/>
        <rFont val="Calibri"/>
        <family val="2"/>
        <charset val="238"/>
        <scheme val="minor"/>
      </rPr>
      <t xml:space="preserve"> (20 doradców, 13 przedstawicieli nauki),
8. Wyjazd studyjny: "Możliwości wymiany wiedzy na temat nowoczesnych rozwiązań organizacyjnych i technologicznych między doradcami i rolnikami z zakresu działań środowiskowych, stosowanych w wybranych krajach - </t>
    </r>
    <r>
      <rPr>
        <b/>
        <sz val="10"/>
        <rFont val="Calibri"/>
        <family val="2"/>
        <charset val="238"/>
        <scheme val="minor"/>
      </rPr>
      <t xml:space="preserve">5 dni </t>
    </r>
    <r>
      <rPr>
        <sz val="10"/>
        <rFont val="Calibri"/>
        <family val="2"/>
        <charset val="238"/>
        <scheme val="minor"/>
      </rPr>
      <t xml:space="preserve">(30 doradców, 2 rolników),
9. Wyjazd studyjny: Innowacyjne rozwiązania w uprawach ekologicznych oraz w produkcji zwierzęcej wdrażane w ekologicznych gospodarstwach demonstracyjnych - </t>
    </r>
    <r>
      <rPr>
        <b/>
        <sz val="10"/>
        <rFont val="Calibri"/>
        <family val="2"/>
        <charset val="238"/>
        <scheme val="minor"/>
      </rPr>
      <t xml:space="preserve">4 dni </t>
    </r>
    <r>
      <rPr>
        <sz val="10"/>
        <rFont val="Calibri"/>
        <family val="2"/>
        <charset val="238"/>
        <scheme val="minor"/>
      </rPr>
      <t>(25 doradców, 5 inna grupa),</t>
    </r>
    <r>
      <rPr>
        <sz val="10"/>
        <color rgb="FFC00000"/>
        <rFont val="Calibri"/>
        <family val="2"/>
        <charset val="238"/>
        <scheme val="minor"/>
      </rPr>
      <t xml:space="preserve">
</t>
    </r>
  </si>
  <si>
    <r>
      <t xml:space="preserve">
</t>
    </r>
    <r>
      <rPr>
        <sz val="10"/>
        <color indexed="8"/>
        <rFont val="Calibri"/>
        <family val="2"/>
        <charset val="238"/>
      </rPr>
      <t xml:space="preserve">Uczestnikami operacji były osoby z całej Polski, nie można ich zakwalifikować jako lokalnych Partnerów, można wśród nich wymienić rolników, przedsiębiorców, nauczycieli szkół rolniczych, przedstawicieli uczelni i instytutów naukowych jak również osoby fizyczne zamierzające zainwestować w gospodarstwo rolne (L191, L192). Szczegółowy wykaz w komentarzu 6.1
</t>
    </r>
    <r>
      <rPr>
        <b/>
        <sz val="10"/>
        <color indexed="8"/>
        <rFont val="Calibri"/>
        <family val="2"/>
        <charset val="238"/>
      </rPr>
      <t/>
    </r>
  </si>
  <si>
    <r>
      <rPr>
        <b/>
        <sz val="11"/>
        <color theme="1"/>
        <rFont val="Calibri"/>
        <family val="2"/>
        <charset val="238"/>
        <scheme val="minor"/>
      </rPr>
      <t>2015:</t>
    </r>
    <r>
      <rPr>
        <sz val="11"/>
        <color theme="1"/>
        <rFont val="Calibri"/>
        <family val="2"/>
        <charset val="238"/>
        <scheme val="minor"/>
      </rPr>
      <t xml:space="preserve"> Wynagrodzenia pracownikiów wraz z kosztami pracodawcy; Materiały, energia, remont, usł. kateringowa, sprzątanie pomieszczeń, usł. telekomunikacyjne, podróże służbowe, organizacja spotkań szkoleniowo-informacyjnych dla koordynatorów pracowników WODR wykonujących działania na rzecz SIR, ochrona, ZFŚS, zakup sprzętu komputerowego</t>
    </r>
    <r>
      <rPr>
        <b/>
        <sz val="11"/>
        <color theme="1"/>
        <rFont val="Calibri"/>
        <family val="2"/>
        <charset val="238"/>
        <scheme val="minor"/>
      </rPr>
      <t xml:space="preserve">
2016: </t>
    </r>
    <r>
      <rPr>
        <sz val="11"/>
        <color theme="1"/>
        <rFont val="Calibri"/>
        <family val="2"/>
        <charset val="238"/>
        <scheme val="minor"/>
      </rPr>
      <t xml:space="preserve">Wynagrodzenia pracownikiów wraz z kosztami pracodawcy; Materiały, energia, remont, usł. kateringowa, wynajem mikrofonu bezprzewod., sprzątanie pomieszczeń, usł. telekomunikacyjne, podróże służbowe, organizacja spotkań szkoleniowo-informacyjnych dla koordynatorów pracowników WODR wykonujących działania na rzecz SIR, ochrona.
</t>
    </r>
    <r>
      <rPr>
        <b/>
        <sz val="11"/>
        <color theme="1"/>
        <rFont val="Calibri"/>
        <family val="2"/>
        <charset val="238"/>
        <scheme val="minor"/>
      </rPr>
      <t>2017:</t>
    </r>
    <r>
      <rPr>
        <sz val="11"/>
        <color theme="1"/>
        <rFont val="Calibri"/>
        <family val="2"/>
        <charset val="238"/>
        <scheme val="minor"/>
      </rPr>
      <t xml:space="preserve">  Jak w 2016 roku, dodatkowo: wynajem samochodu, kursy języka angielskiego dla pracowników, kurs z Pzp, zakup: aparatu fotograficznego, dyktafonu, 4 roll-up'ów promujących Sieć. </t>
    </r>
  </si>
  <si>
    <r>
      <rPr>
        <b/>
        <sz val="11"/>
        <color theme="1"/>
        <rFont val="Calibri"/>
        <family val="2"/>
        <charset val="238"/>
        <scheme val="minor"/>
      </rPr>
      <t xml:space="preserve">SZCZEGÓŁOWE INFORMACJE DOTYCZĄCE ROZBIEŻNOŚCI W KWOCIE MIĘDZY ZAŁ. 1 i 2 DO SPRAWOZDANIA W ROKU 2016: 
</t>
    </r>
    <r>
      <rPr>
        <sz val="11"/>
        <color theme="1"/>
        <rFont val="Calibri"/>
        <family val="2"/>
        <charset val="238"/>
        <scheme val="minor"/>
      </rPr>
      <t>w Planie Operacyjnym na lata 2016-2017 ujęte są operacje obejmujace swoim zasięgiem 2 lata, są to operacje etapowe, składające się z kilku szkoleń, kilku wyjazdów studyjnych bądź konferencji i publikacji pokonferencyjnej. Operacje, o których mowa, a które ujęte są w zał. nr 1 zapisane są w operacjach częściowo zrealizowanych, to:
1.</t>
    </r>
    <r>
      <rPr>
        <sz val="11"/>
        <rFont val="Calibri"/>
        <family val="2"/>
        <charset val="238"/>
        <scheme val="minor"/>
      </rPr>
      <t xml:space="preserve"> Szkolenie z wyjazdem studyjnym: "Wykorzystanie innowacji w gospodarstwie rolnym w zakresie ochrony środowiska" - odbyły się 3 szkolenia z wyjazdam studyjnym z planowanych 4, przy czym 4 etap w trakcie realizacji </t>
    </r>
    <r>
      <rPr>
        <sz val="11"/>
        <color theme="1"/>
        <rFont val="Calibri"/>
        <family val="2"/>
        <charset val="238"/>
        <scheme val="minor"/>
      </rPr>
      <t xml:space="preserve">
2. Szkolenie z wyjazdem studyjnym - zrealizowane dwa etapy w 2016 r.</t>
    </r>
    <r>
      <rPr>
        <sz val="11"/>
        <color theme="1"/>
        <rFont val="Calibri"/>
        <family val="2"/>
        <charset val="238"/>
        <scheme val="minor"/>
      </rPr>
      <t xml:space="preserve">
3. Konferencja i publikacja pn. "Innowacyjne metody gospodarowania zasobami wody w rolnictwie" - konfrencja zrealizowana w 2016 roku, publikacja w trakcie realizacji </t>
    </r>
    <r>
      <rPr>
        <sz val="11"/>
        <color theme="1"/>
        <rFont val="Calibri"/>
        <family val="2"/>
        <charset val="238"/>
        <scheme val="minor"/>
      </rPr>
      <t xml:space="preserve">
4. Szkolenie z wyjazdem studyjnym pn. "Rolnictwo precyzyjne..." - 2-u etapowe, 1 etap zakończony </t>
    </r>
    <r>
      <rPr>
        <sz val="11"/>
        <color theme="1"/>
        <rFont val="Calibri"/>
        <family val="2"/>
        <charset val="238"/>
        <scheme val="minor"/>
      </rPr>
      <t xml:space="preserve">
</t>
    </r>
  </si>
  <si>
    <t>Dolnośląski Ośrodek Doradztwa Rolniczego</t>
  </si>
  <si>
    <r>
      <rPr>
        <b/>
        <sz val="10"/>
        <color indexed="8"/>
        <rFont val="Calibri"/>
        <family val="2"/>
        <charset val="238"/>
      </rPr>
      <t xml:space="preserve">2015 </t>
    </r>
    <r>
      <rPr>
        <sz val="10"/>
        <color indexed="8"/>
        <rFont val="Calibri"/>
        <family val="2"/>
        <charset val="238"/>
      </rPr>
      <t xml:space="preserve">- Organizacja 2 spotkań informacyjno-aktywizujących na terenie województwa dolnosląskiego (teren powiatu kłodzkiego i jeleniogórskiego).
</t>
    </r>
    <r>
      <rPr>
        <b/>
        <sz val="10"/>
        <color indexed="8"/>
        <rFont val="Calibri"/>
        <family val="2"/>
        <charset val="238"/>
      </rPr>
      <t>2016</t>
    </r>
    <r>
      <rPr>
        <sz val="10"/>
        <color indexed="8"/>
        <rFont val="Calibri"/>
        <family val="2"/>
        <charset val="238"/>
      </rPr>
      <t xml:space="preserve"> - Punkty informacyjne SIR podczas imprez organizowanych przez DODR.
</t>
    </r>
    <r>
      <rPr>
        <b/>
        <sz val="10"/>
        <color indexed="8"/>
        <rFont val="Calibri"/>
        <family val="2"/>
        <charset val="238"/>
      </rPr>
      <t xml:space="preserve">2017 </t>
    </r>
    <r>
      <rPr>
        <sz val="10"/>
        <color indexed="8"/>
        <rFont val="Calibri"/>
        <family val="2"/>
        <charset val="238"/>
      </rPr>
      <t>- Punkty informacyjno-promocyjne SIR podczas imprez, szkoleń, wyjazdów szkoleniowych, seminariów i konferencji organizowanych/współorganizowanych przez DODR.</t>
    </r>
  </si>
  <si>
    <r>
      <rPr>
        <b/>
        <sz val="10"/>
        <color indexed="8"/>
        <rFont val="Calibri"/>
        <family val="2"/>
        <charset val="238"/>
      </rPr>
      <t>2016</t>
    </r>
    <r>
      <rPr>
        <sz val="10"/>
        <color indexed="8"/>
        <rFont val="Calibri"/>
        <family val="2"/>
        <charset val="238"/>
      </rPr>
      <t xml:space="preserve"> - Szacowana liczba osób odwiedzająca imprezy organizowane przez DODR, na których zorganizowano punkty informacyjne SIR.
</t>
    </r>
    <r>
      <rPr>
        <b/>
        <sz val="10"/>
        <color indexed="8"/>
        <rFont val="Calibri"/>
        <family val="2"/>
        <charset val="238"/>
      </rPr>
      <t xml:space="preserve">2017 </t>
    </r>
    <r>
      <rPr>
        <sz val="10"/>
        <color indexed="8"/>
        <rFont val="Calibri"/>
        <family val="2"/>
        <charset val="238"/>
      </rPr>
      <t>-  Szacowana liczba osób podczas imprez, szkoleń, wyjazdów szkoleniowych, seminariów i konferencji organizowanych/współorganizowanych przez DODR, na których zorganizowano punkty informacyjno-promocyjne SIR.</t>
    </r>
  </si>
  <si>
    <r>
      <rPr>
        <b/>
        <sz val="10"/>
        <color theme="1"/>
        <rFont val="Calibri"/>
        <family val="2"/>
        <charset val="238"/>
        <scheme val="minor"/>
      </rPr>
      <t xml:space="preserve">2016 </t>
    </r>
    <r>
      <rPr>
        <sz val="10"/>
        <color theme="1"/>
        <rFont val="Calibri"/>
        <family val="2"/>
        <charset val="238"/>
        <scheme val="minor"/>
      </rPr>
      <t xml:space="preserve">- Zamieszczono 26 informacji na temat  wydarzeń i spotkań dotyczących SIR.
</t>
    </r>
    <r>
      <rPr>
        <b/>
        <sz val="10"/>
        <color theme="1"/>
        <rFont val="Calibri"/>
        <family val="2"/>
        <charset val="238"/>
        <scheme val="minor"/>
      </rPr>
      <t>2017</t>
    </r>
    <r>
      <rPr>
        <sz val="10"/>
        <color theme="1"/>
        <rFont val="Calibri"/>
        <family val="2"/>
        <charset val="238"/>
        <scheme val="minor"/>
      </rPr>
      <t xml:space="preserve"> - Zamieszczono 41 artykułów/informacji na temat wydarzeń, spotkań, działań w ramach SIR.
*Liczba użytkowników strony.</t>
    </r>
  </si>
  <si>
    <t>*</t>
  </si>
  <si>
    <t>Liczba fanów na facebooku*</t>
  </si>
  <si>
    <t>Liczba postów na facebooku (wliczając udostępnienia)**</t>
  </si>
  <si>
    <r>
      <rPr>
        <b/>
        <sz val="10"/>
        <color theme="1"/>
        <rFont val="Calibri"/>
        <family val="2"/>
        <charset val="238"/>
        <scheme val="minor"/>
      </rPr>
      <t>2017</t>
    </r>
    <r>
      <rPr>
        <sz val="10"/>
        <color theme="1"/>
        <rFont val="Calibri"/>
        <family val="2"/>
        <charset val="238"/>
        <scheme val="minor"/>
      </rPr>
      <t xml:space="preserve"> -  Artykuły/informacje zamieszczane na portalu społecznościowym Facebook administrowanym przez CDR w Brwinowie. 
* Liczba lajków pod artykułami/informacjami przesłanymi przez DODR we Wrocławiu.
** Liczba postów: 25, liczba udostępnień: 9.</t>
    </r>
  </si>
  <si>
    <r>
      <rPr>
        <b/>
        <sz val="10"/>
        <color theme="1"/>
        <rFont val="Calibri"/>
        <family val="2"/>
        <charset val="238"/>
        <scheme val="minor"/>
      </rPr>
      <t>2015</t>
    </r>
    <r>
      <rPr>
        <sz val="10"/>
        <color theme="1"/>
        <rFont val="Calibri"/>
        <family val="2"/>
        <charset val="238"/>
        <scheme val="minor"/>
      </rPr>
      <t xml:space="preserve"> - Zamieszczono bezplatną informację nt. SIR w czasopiśmie Twój Doradca Rolniczy Rynek w miesiącu listopad i grudzień 2015 r. (nakład 3 400 egz.)
</t>
    </r>
    <r>
      <rPr>
        <b/>
        <sz val="10"/>
        <color theme="1"/>
        <rFont val="Calibri"/>
        <family val="2"/>
        <charset val="238"/>
        <scheme val="minor"/>
      </rPr>
      <t>2016</t>
    </r>
    <r>
      <rPr>
        <sz val="10"/>
        <color theme="1"/>
        <rFont val="Calibri"/>
        <family val="2"/>
        <charset val="238"/>
        <scheme val="minor"/>
      </rPr>
      <t xml:space="preserve"> - 8 artykułów i 11 informacji - zaproszeń do współpracyw ramach SIR zamieszczonych w miesięczniku DODR Twój Doradca Rolniczy Rynek (nakład 3 300 egz.).
</t>
    </r>
    <r>
      <rPr>
        <b/>
        <sz val="10"/>
        <color theme="1"/>
        <rFont val="Calibri"/>
        <family val="2"/>
        <charset val="238"/>
        <scheme val="minor"/>
      </rPr>
      <t xml:space="preserve">2017 </t>
    </r>
    <r>
      <rPr>
        <sz val="10"/>
        <color theme="1"/>
        <rFont val="Calibri"/>
        <family val="2"/>
        <charset val="238"/>
        <scheme val="minor"/>
      </rPr>
      <t xml:space="preserve">- 29 artykułów i 12 informacji - zaproszeń do współpracy wramach SIR zamieszczonych w miesięczniku DODR Twój Doradca Rolniczy Rynek (nakład 3 300 egz.).
</t>
    </r>
    <r>
      <rPr>
        <b/>
        <sz val="10"/>
        <color theme="1"/>
        <rFont val="Calibri"/>
        <family val="2"/>
        <charset val="238"/>
        <scheme val="minor"/>
      </rPr>
      <t>Publikacje:</t>
    </r>
    <r>
      <rPr>
        <sz val="10"/>
        <color theme="1"/>
        <rFont val="Calibri"/>
        <family val="2"/>
        <charset val="238"/>
        <scheme val="minor"/>
      </rPr>
      <t xml:space="preserve">
- Ulotka "Działanie „Współpraca” instrument wspierający wdrażanie innowacji w sektorze rolnym, spożywczym i leśnym" - nakład 4000 egz. (w ramach operacji "Działania informacyjno-aktywizujące prowadzone przez brokera inicjujące powstawanie grup operacyjnych w obszarze innowacji w województwie dolnośląskim").
- Broszura "Dolina Łachy przyrodzie i ludziom. Ochrona bioróżnorodności w ramach działania rolno-środowiskowo-klimatycznego" - nakład 1000 egz. (w ramach operacji "Od innowacyjności do bioróżnorodności").
- Ulotka "Innowacyjne metody uprawy gleby, a zasobność w makro- i mikroelementy" - nakład 1000 egz. (w ramach operacji "Przez innowacyjność do poprawy życia biologicznego gleby").
- Ulotka "Tradycyjne
przetwórstwo mięsa na
poziomie gospodarstwa, a
nowatorskie rozwiązania
techniczne i technologiczne" - nakład 1000 egz. (w ramach operacji "Tradycyjne przetwórstwo mięsa na poziomie gospodarstwa a możliwości wdrożenia nowych technik i
technologii").
- Broszura informacyjna "Nauka-praktyce; praktyka-nauce" - nakład 160 egz. (w ramach operacji"Nauka-praktyce; praktyka-nauce").</t>
    </r>
  </si>
  <si>
    <t>Liczba filmów/ programów telewizyjnych/audycji radiowych*</t>
  </si>
  <si>
    <t>* Liczba filmów na stronie www.dodr.pl w zakładce SIR. Ten sam fim na stronie You Tube oraz na portalu Facebook administrowanym przez CDR w Brwinowie. Liczba wyświetleń na kanale You Tube: 79; liczba subskrybcji: 3
Film zrealizowany w ramach operacji "Kampania informacyjno-promocyjna: Innowacyjny Dolny Śląsk".</t>
  </si>
  <si>
    <t>Liczba dobrych praktyk *</t>
  </si>
  <si>
    <t>*Przesłano do CDR w Brwinowie 12 formularzy dot. Innowacyjnych rozwiązań w rolnictwie na terenie województwa dolnośląskiego.</t>
  </si>
  <si>
    <t>Konsultacje tematyczne z partnerami (włączając grupy koordynacyjne)*</t>
  </si>
  <si>
    <t>* Konsultacje telefoniczne udzielane przez brokera potencjalnym członkom grup operacyjnych w ramach działania "Współpraca", w tym analiza dokumentacji WoPP na nabór pilotażowy.</t>
  </si>
  <si>
    <r>
      <rPr>
        <b/>
        <sz val="10"/>
        <color theme="1"/>
        <rFont val="Calibri"/>
        <family val="2"/>
        <charset val="238"/>
        <scheme val="minor"/>
      </rPr>
      <t>2015</t>
    </r>
    <r>
      <rPr>
        <sz val="10"/>
        <color theme="1"/>
        <rFont val="Calibri"/>
        <family val="2"/>
        <scheme val="minor"/>
      </rPr>
      <t xml:space="preserve"> - Organizacja 2 spotkań informacyjno-aktywizujących na terenie województwa dolnośląskiego (teren powiatu kłodzkiego i jeleniogórskiego).
</t>
    </r>
    <r>
      <rPr>
        <b/>
        <sz val="10"/>
        <color theme="1"/>
        <rFont val="Calibri"/>
        <family val="2"/>
        <charset val="238"/>
        <scheme val="minor"/>
      </rPr>
      <t>2016</t>
    </r>
    <r>
      <rPr>
        <sz val="10"/>
        <color theme="1"/>
        <rFont val="Calibri"/>
        <family val="2"/>
        <scheme val="minor"/>
      </rPr>
      <t xml:space="preserve"> - Organizacja 3 wyjazdów studyjnych i szkolenia połączonego z warsztatami.
</t>
    </r>
    <r>
      <rPr>
        <b/>
        <sz val="10"/>
        <color theme="1"/>
        <rFont val="Calibri"/>
        <family val="2"/>
        <charset val="238"/>
        <scheme val="minor"/>
      </rPr>
      <t>2017</t>
    </r>
    <r>
      <rPr>
        <sz val="10"/>
        <color theme="1"/>
        <rFont val="Calibri"/>
        <family val="2"/>
        <scheme val="minor"/>
      </rPr>
      <t xml:space="preserve"> - Organizacja 15 spotkań informacyjno-promocyjnych nt. SIR i działania "Współpraca", przeprowadzenie 24 wykładów nt. SIR oraz działania "Współpraca", udział w 27 spotkaniach dotyczących założenia grup EPI. 
*inne - spotkania informacyjno-promocyjne SIR, przeprowadzone wykłady nt. SIR i działania "Współpraca" na różnych szkoleniach oraz spotkania dotyczące działania "Współpraca" i tworzenia grup operacyjnych EPI. </t>
    </r>
    <r>
      <rPr>
        <b/>
        <sz val="10"/>
        <color theme="1"/>
        <rFont val="Calibri"/>
        <family val="2"/>
        <charset val="238"/>
        <scheme val="minor"/>
      </rPr>
      <t/>
    </r>
  </si>
  <si>
    <r>
      <rPr>
        <b/>
        <sz val="10"/>
        <color theme="1"/>
        <rFont val="Calibri"/>
        <family val="2"/>
        <charset val="238"/>
        <scheme val="minor"/>
      </rPr>
      <t>2015</t>
    </r>
    <r>
      <rPr>
        <sz val="10"/>
        <color theme="1"/>
        <rFont val="Calibri"/>
        <family val="2"/>
        <scheme val="minor"/>
      </rPr>
      <t xml:space="preserve"> - Organizacja 2 spotkań informacyjno-aktywizujących na terenie województwa dolnośląskiego (teren powiatu kłodzkiego i jeleniogórskiego).
</t>
    </r>
    <r>
      <rPr>
        <b/>
        <sz val="10"/>
        <color theme="1"/>
        <rFont val="Calibri"/>
        <family val="2"/>
        <charset val="238"/>
        <scheme val="minor"/>
      </rPr>
      <t xml:space="preserve">2016 </t>
    </r>
    <r>
      <rPr>
        <sz val="10"/>
        <color theme="1"/>
        <rFont val="Calibri"/>
        <family val="2"/>
        <scheme val="minor"/>
      </rPr>
      <t xml:space="preserve">- Organizacja 3 wyjazdów studyjnych i szkolenia połączonego z warsztatami.
</t>
    </r>
    <r>
      <rPr>
        <b/>
        <sz val="10"/>
        <color theme="1"/>
        <rFont val="Calibri"/>
        <family val="2"/>
        <charset val="238"/>
        <scheme val="minor"/>
      </rPr>
      <t>2017</t>
    </r>
    <r>
      <rPr>
        <sz val="10"/>
        <color theme="1"/>
        <rFont val="Calibri"/>
        <family val="2"/>
        <scheme val="minor"/>
      </rPr>
      <t xml:space="preserve"> - Organizacja 15 spotkań informacyjno-promocyjnych nt. SIR i działania "Współpraca", przeprowadzenie 24 wykładów nt. SIR oraz działania "Współpraca", udział w 27 spotkaniach dotyczących założenia grup EPI. 
*liczba uczestników innych działań - odbiorcy spotkań informacyjno-promocyjnych SIR oraz przeprowadzonych wykładów nt. SIR.
</t>
    </r>
    <r>
      <rPr>
        <b/>
        <sz val="10"/>
        <color theme="1"/>
        <rFont val="Calibri"/>
        <family val="2"/>
        <charset val="238"/>
        <scheme val="minor"/>
      </rPr>
      <t>2017</t>
    </r>
    <r>
      <rPr>
        <sz val="10"/>
        <color theme="1"/>
        <rFont val="Calibri"/>
        <family val="2"/>
        <scheme val="minor"/>
      </rPr>
      <t xml:space="preserve"> - liczba uczestników innych działań - odbiorcy spotkań informacyjno-promocyjnych SIR i działania "Współpraca", odbiorcy przeprowadzonych wykładów nt. SIR i działania "Współpraca" oraz  odbiorcy spotkań dotyczących  działania "Współpraca" i potencjalni członkowie grup operacyjnych EPI.
*inne grupy - przedstawiciele jednostek samorządowych[51], PIORIN[1], DIR [1].
</t>
    </r>
    <r>
      <rPr>
        <b/>
        <sz val="10"/>
        <color theme="1"/>
        <rFont val="Calibri"/>
        <family val="2"/>
        <charset val="238"/>
        <scheme val="minor"/>
      </rPr>
      <t>2017</t>
    </r>
    <r>
      <rPr>
        <sz val="10"/>
        <color theme="1"/>
        <rFont val="Calibri"/>
        <family val="2"/>
        <scheme val="minor"/>
      </rPr>
      <t xml:space="preserve"> - KRUS [1], PIP [1], IUNG [6], ZZR Rzeczypospolitej "Solidarni" [2], IWNiRZ w Poznaniu [1].</t>
    </r>
  </si>
  <si>
    <t>Środki na funkcjonowanie.
W ramach funkcjonowania pracownicy SIR: aktualizują zakładkę SIR na stronie www.dodr.pl, przygotowują informacje do gazety TDRR, organizują spotkania informacyjno-promocyjne SIR zarówno grupowe jak i indywidualne, w ramach tworzenia sieci kontaktów, pozyskują nowych partnerów do Bazy Partnerów SIR, monitorują działania związane z SIR na Dolnym Śląsku, udzielają zainteresowanym informacje na temat istoty SIR, koordynują prawidłowe realizowanie PO 2016-2017 oraz inne zadania wg bieżących potrzeb.  Do zadań brokera (zatrudniony od 01.01.2017 r.)  w ramach funkcjonowania należy m.in.: identyfikacja potencjalnych partnerów na obszarze działania brokera oraz nawiązanie z nimi współpracy,  prowadzenie działań aktywizujących, pomoc w tworzeniu i organizacji grup operacyjnych, pomoc w przygotowywaniu potrzebnych dokumentów formalnych związanych z funkcjonowaniem grupy oraz stałe monitorowanie grupy. Dodatkowo koordynatorzy i broker obecni są na szkoleniach organizowanych na terenie województwa dolnośląskiego gdzie przeprowadzają wykłady na temat Sieci i działania "Współpraca".
W skład kosztów na funkcjonowanie wchodzą także koszty delegacji pracowników ds. SIR i brokera na szkolenia i spotkania związane z pozyskiwaniem wiedzy dot. Sieci i działania "Współpraca",  w celu tworzenia sieci kontaktów oraz w przypadku brokera w celu tworzenia i organizacji grup operacyjnych.
W 2015 r. dodatkowo oprócz kosztów funkcjonowania zakup (wyposażenie) stanowiska pracy oraz zakup 2 laptopów na potrzeby pracowników oddelegowanych do zadań SIR.</t>
  </si>
  <si>
    <t>[Kujawsko-Pomorski Ośrodek Doradztwa Rolniczego w Minikowie]</t>
  </si>
  <si>
    <r>
      <t xml:space="preserve">W 2015 r. zasięg lokalny/regionalny - 2 seminaria, 2 szkolenia, 2 konferencje -łacznie 636 osób. </t>
    </r>
    <r>
      <rPr>
        <b/>
        <sz val="10"/>
        <color indexed="8"/>
        <rFont val="Calibri"/>
        <family val="2"/>
        <charset val="238"/>
      </rPr>
      <t>Wydarzenia w 2016 r.</t>
    </r>
    <r>
      <rPr>
        <sz val="10"/>
        <color indexed="8"/>
        <rFont val="Calibri"/>
        <family val="2"/>
        <charset val="238"/>
      </rPr>
      <t xml:space="preserve">: 1. Innowacyjne rozwiązania w zarządzaniu stadem bydła mlecznego w zautomatyzowanej oborze (konferencja 23.03.2016 r., warsztaty/pokaz 2-3.07.2016 r.), 2. II Forum Hodowców i Producentów Trzody Chlewnej Kujaw i Pomorza (konferencja 04.11.2016 r w Przysieku). 3. Skracanie łańcucha żywnościowego w ramach proekologicznej hodowli gęsi (szkolenie, warsztaty, spotkanie hodowców, impreza promocyjno-targowa Święto Gęsiny na Krajnie). 4. Innowacyjne praktyki hodowlane prezentowane podczas Europejskich Targów Hodowlanych w Clermont-Ferrand (wyjazd studyjny 02-08.10.2016 r.). 5. Zrównoważone użytkowanie zasobów wodnych i glebowych w okresach posusznych – innowacyjne rozwiązania (konferencja, 4 warsztaty). 6. Kujawsko-Pomorska Wieprzowina produkowana z wykorzystaniem polskiego białka pochodzenia roślinnego (spotkanie inauguracyjne, 5 warsztatów, konferencja podsumowująca). 7. Innowacyjne systemy uprawy roślin polowych przy użyciu agregatów nowej generacji (warsztaty/pokaz). 8. Upowszechnianie wiedzy na temat legalnej sprzedaży produktów lokalnych i tradycyjnych z branży rolno-spożywczej oraz tworzenie kanałów sprzedaży (szkolenie). 9. Droga rozwoju dla innowacyjnych rolników i przedsiębiorców. Warsztaty informacyjno-motywacyjne (warsztaty). 4 - stoiska informacyjne dotyczące SIR na imprezach targowych i dożynkach: Dni Otwartych Drzwi w Zarzeczewie, Dni Pola w Grubnie, Międzynarodowe Targi Rolno-Przemysłowe AGRO-TECH Minikowo, Dożynki Wojewódzkie w Piotrkowie Kujawskim. </t>
    </r>
    <r>
      <rPr>
        <b/>
        <sz val="10"/>
        <color indexed="8"/>
        <rFont val="Calibri"/>
        <family val="2"/>
        <charset val="238"/>
      </rPr>
      <t>W 2017 r.</t>
    </r>
    <r>
      <rPr>
        <sz val="10"/>
        <color indexed="8"/>
        <rFont val="Calibri"/>
        <family val="2"/>
        <charset val="238"/>
      </rPr>
      <t xml:space="preserve"> zorganizowano: 4 stoiska informacyjne SIR, podczas imprez targowych: Międzynarodowy Dzień Rzepaku EURORZEPAK w Minikowie (18.05.2017 r.), Dni Otwartych Drzwi w Zarzeczewie (3-4.06.2017 r.) i Dni Pola w Grubnie (10-11.06.2017 r.), Międzynarodowe Targi Rolno-Przemyslowe AGRO-TECH w Minikowie (1-2.07.2017 r.), 2 wyjazdy studyjne: " „Innowacyjne rozwiązania w organizacji chowu i przetwórstwie bydła mięsnego” Witkowo (22-23.05.2017 r.) i "Wykorzystanie potencjału nowych odmian roślin uprawnych w rolnictwie zrównoważonym" Strzelce-Radzików-Falęty (22-23.06.2017 r.), Punkty informacyjno-konsultacyjny na Dniach Pola w Grubnie (10.06.2017 r.), Warsztaty i konferencja dla pszczelarzy „Innowacyjne wykorzystanie kwiatowego pyłku pszczelego w wiosennej stymulacji rodzin pszczelich” Zarzeczewo (warsztaty - 21.05.2017 r. i 27.08.2017 r., konferencja - 26.08.2017 r. ), „Droga rozwoju dla innowacyjnych rolników i przedsiębiorców. Warsztaty informacyjno-motywacyjne” Włocławek (warsztaty 6-7 i 9-10.03.2017 r.), Warszaty polowe „Monitoring podstawowych chorób pszenicy w praktyce – rozpoznawanie wybranych chorób w okresie wegetacji” w Falęcinie (warsztaty 06.06.2017 r.), Warsztaty sadownicze „Monitoring występowania chorób na plantacjach jabłoni chorób ze szczególnym uwzględnieniem parcha jabłoni” w Lisewie Kościelnym i Starorypinie (warsztaty 6-7.06.2017 r.), Szkolenie polowe w Minikowie „Innowacyjne systemy uprawy roślin polowych przy użyciu agregatów nowej generacj</t>
    </r>
    <r>
      <rPr>
        <sz val="10"/>
        <rFont val="Calibri"/>
        <family val="2"/>
        <charset val="238"/>
      </rPr>
      <t>i” - (szkolenie 20.03.2017 r.</t>
    </r>
    <r>
      <rPr>
        <sz val="10"/>
        <color indexed="8"/>
        <rFont val="Calibri"/>
        <family val="2"/>
        <charset val="238"/>
      </rPr>
      <t>), Szkolenie specjalistyczne „Monitoring agrofagów roślin uprawnych na przykładzie programu SPEC – Monitoring suchej zgnilizny kapustnych ” (szkolenie - dwie części 11.10.2017 r. i 27.10.2017 r.), „Upowszechnianie wiedzy na temat legalnej sprzedaży produktów lokalnych i tradycyjnych z branży rolno-spożywczej oraz tworzenie kanałów sprzedaży” - (warsztaty 21-23.</t>
    </r>
    <r>
      <rPr>
        <sz val="10"/>
        <rFont val="Calibri"/>
        <family val="2"/>
        <charset val="238"/>
      </rPr>
      <t xml:space="preserve">02.2017 r.). </t>
    </r>
  </si>
  <si>
    <r>
      <rPr>
        <b/>
        <sz val="10"/>
        <color indexed="8"/>
        <rFont val="Calibri"/>
        <family val="2"/>
        <charset val="238"/>
      </rPr>
      <t xml:space="preserve">W 2015 r. zasięg lokalny/regionalny </t>
    </r>
    <r>
      <rPr>
        <sz val="10"/>
        <color indexed="8"/>
        <rFont val="Calibri"/>
        <family val="2"/>
        <charset val="238"/>
      </rPr>
      <t>- 2 seminaria, 2 szkolenia, 2 konferencje -łacznie 636 osób.</t>
    </r>
    <r>
      <rPr>
        <b/>
        <sz val="10"/>
        <color indexed="8"/>
        <rFont val="Calibri"/>
        <family val="2"/>
        <charset val="238"/>
      </rPr>
      <t xml:space="preserve"> 2016 r.</t>
    </r>
    <r>
      <rPr>
        <sz val="10"/>
        <color indexed="8"/>
        <rFont val="Calibri"/>
        <family val="2"/>
        <charset val="238"/>
      </rPr>
      <t xml:space="preserve"> z</t>
    </r>
    <r>
      <rPr>
        <b/>
        <sz val="10"/>
        <color indexed="8"/>
        <rFont val="Calibri"/>
        <family val="2"/>
        <charset val="238"/>
      </rPr>
      <t>asięg lokalny/regionalny</t>
    </r>
    <r>
      <rPr>
        <sz val="10"/>
        <color indexed="8"/>
        <rFont val="Calibri"/>
        <family val="2"/>
        <charset val="238"/>
      </rPr>
      <t xml:space="preserve"> - 3000 odwiedzających i 40 wystawców uczestniczących w Dożynkach Wojewódzkich w Piotrkowie Kuj. 28.08.2016 r. (według wskazań organizatora) oraz 50 osób (na podstawie list obecności) uczestniczących w warsztatach motywacyjno-informacyjnych pt. "Droga rozwoju dla innowacyjnych rolników i przedsiębiorców" 4-5.07. oraz 6-7.07.2016 r. w Przysieku. II Forum Hodowców i Producentów Trzody Chlewnej Kujaw i Pomorza 04.11.2016 r. w Przysieku (konferencja – 131 osób), Skracanie łańcucha żywnościowego w ramach proekologicznej hodowli gęsi (szkolenie – 16 osób, warsztaty – 17 osób, spotkanie hodowców 26 osób), Zrównoważone użytkowanie zasobów wodnych i glebowych w okresach posusznych – innowacyjne rozwiązania (konferencja 125 osób, 4 warsztaty – łącznie 128 uczestników), Kujawsko-Pomorska Wieprzowina produkowana z wykorzystaniem polskiego białka pochodzenia roślinnego (spotkanie inauguracyjne – 22 osoby, 5 warsztatów – łącznie 110 osób, konferencja podsumowująca – 70 uczestników), Innowacyjne systemy uprawy roślin polowych przy użyciu agregatów nowej generacji - (warsztaty/pokaz – 140 uczestników), Upowszechnianie wiedzy na temat legalnej sprzedaży produktów lokalnych i tradycyjnych z branży rolno-spożywczej oraz tworzenie kanałów sprzedaży (szkolenie 2-dniowe – 20 osób). </t>
    </r>
    <r>
      <rPr>
        <b/>
        <sz val="10"/>
        <color indexed="8"/>
        <rFont val="Calibri"/>
        <family val="2"/>
        <charset val="238"/>
      </rPr>
      <t>Zasięg krajowy</t>
    </r>
    <r>
      <rPr>
        <sz val="10"/>
        <color indexed="8"/>
        <rFont val="Calibri"/>
        <family val="2"/>
        <charset val="238"/>
      </rPr>
      <t xml:space="preserve"> - stoisko informacyjne SIR podczas targów Dni Otwartych Drzwi w Zarzeczewie 4-5.06.2016 r.  (15 000 odwiedzających i 206 wystawców na podstawie wskazań organizatora), stoisko informacyjne SIR podczas DNI POLA w Grubnie 18-19.06.2016 r. (25000 odwiedzających i 221 wystawców na podstawie wskazań organizatora) oraz 106 osób (na podstawi listy obecności) uczestników konferencji pt. "Innowacyjne rozwiązania w zarządzaniu stadem bydła mlecznego w zautomatyzowanej oborze" w siedzibie KPODR Minikowie oraz impreza promocyjno-targowa Święto Gęsi na Krajnie - (1000 odwiedzających i 80 wystawców na podstawie wskazań organizatora) </t>
    </r>
    <r>
      <rPr>
        <b/>
        <sz val="10"/>
        <color indexed="8"/>
        <rFont val="Calibri"/>
        <family val="2"/>
        <charset val="238"/>
      </rPr>
      <t>Zasięg międzynarodowy</t>
    </r>
    <r>
      <rPr>
        <sz val="10"/>
        <color indexed="8"/>
        <rFont val="Calibri"/>
        <family val="2"/>
        <charset val="238"/>
      </rPr>
      <t xml:space="preserve"> - stoisko SIR na Międzynarodowych Targach Rolno-Przemysłowych AGRO-TECH 2-3.07.2016 r. (35000 odwiedzających i 422 wystawców według wskazań organizatora) oraz 500 osób (na podstawie listy obecności) uczestniczących w praktycznym pokazie - zautomatyzowana obora podczas Targów AGRO-TECH w Minikowie, a także Wyjazd studyjny do Francji -w dn. 2-8.10.2016 r. na Europejskie Targi Hodowlane w Clemont-Ferrand - 26 uczestników. </t>
    </r>
    <r>
      <rPr>
        <b/>
        <sz val="10"/>
        <color indexed="8"/>
        <rFont val="Calibri"/>
        <family val="2"/>
        <charset val="238"/>
      </rPr>
      <t>W 2017 r.</t>
    </r>
    <r>
      <rPr>
        <sz val="10"/>
        <color indexed="8"/>
        <rFont val="Calibri"/>
        <family val="2"/>
        <charset val="238"/>
      </rPr>
      <t xml:space="preserve">,  wydarzenia o </t>
    </r>
    <r>
      <rPr>
        <b/>
        <sz val="10"/>
        <color indexed="8"/>
        <rFont val="Calibri"/>
        <family val="2"/>
        <charset val="238"/>
      </rPr>
      <t>zasięgu międzynarodowym</t>
    </r>
    <r>
      <rPr>
        <sz val="10"/>
        <color indexed="8"/>
        <rFont val="Calibri"/>
        <family val="2"/>
        <charset val="238"/>
      </rPr>
      <t xml:space="preserve"> to: Międzynarodowy Dzień Rzepaku EURORZEPAK w Minikowie - 324 osoby - konferencja i stoisko informacyjne SIR, Międzynarodowe Targi Rolno-Przemysłowe AGRO-TECH w Minikowie - stoisko informacyjne SIR - 30 000 odwiedzających i 330 wystawców według wskazań organizatora. </t>
    </r>
    <r>
      <rPr>
        <b/>
        <sz val="10"/>
        <color indexed="8"/>
        <rFont val="Calibri"/>
        <family val="2"/>
        <charset val="238"/>
      </rPr>
      <t>Zasięg krajowy</t>
    </r>
    <r>
      <rPr>
        <sz val="10"/>
        <color indexed="8"/>
        <rFont val="Calibri"/>
        <family val="2"/>
        <charset val="238"/>
      </rPr>
      <t xml:space="preserve"> - stoisko informacyjne SIR na Dniach Otwartych Drzwi w Zarzeczewie - 150 wystawców i 15 000 zwiedzających  i 200 wystawców i 20 000 odwiedzających na Dniach Pola w Grubnie - stoisko informacyjne SIR, Punkt informacyjno-konsultacyjny na Dniach Pola w Grubnie - 105 osób.</t>
    </r>
    <r>
      <rPr>
        <b/>
        <sz val="10"/>
        <color indexed="8"/>
        <rFont val="Calibri"/>
        <family val="2"/>
        <charset val="238"/>
      </rPr>
      <t xml:space="preserve"> Zasięg regionalny/lokalny</t>
    </r>
    <r>
      <rPr>
        <sz val="10"/>
        <color indexed="8"/>
        <rFont val="Calibri"/>
        <family val="2"/>
        <charset val="238"/>
      </rPr>
      <t xml:space="preserve"> - wyjazdy studyjne: " „Innowacyjne rozwiązania w organizacji chowu i przetwórstwie bydła mięsnego” Witkowo - 50 osób i "Wykorzystanie potencjału nowych odmian roślin uprawnych w rolnictwie zrównoważonym" Strzelce-Radzików-Falęty - 25 osób, Warsztaty dla pszczelarzy „Innowacyjne wykorzystanie kwiatowego pyłku pszczelego w wiosennej stymulacji rodzin pszczelich” - warsztaty dla 100 osób, konferencja</t>
    </r>
    <r>
      <rPr>
        <sz val="10"/>
        <color rgb="FFFF0000"/>
        <rFont val="Calibri"/>
        <family val="2"/>
        <charset val="238"/>
      </rPr>
      <t xml:space="preserve"> </t>
    </r>
    <r>
      <rPr>
        <sz val="10"/>
        <rFont val="Calibri"/>
        <family val="2"/>
        <charset val="238"/>
      </rPr>
      <t>50</t>
    </r>
    <r>
      <rPr>
        <sz val="10"/>
        <color rgb="FFFF0000"/>
        <rFont val="Calibri"/>
        <family val="2"/>
        <charset val="238"/>
      </rPr>
      <t xml:space="preserve"> </t>
    </r>
    <r>
      <rPr>
        <sz val="10"/>
        <color indexed="8"/>
        <rFont val="Calibri"/>
        <family val="2"/>
        <charset val="238"/>
      </rPr>
      <t xml:space="preserve">osób, "Droga rozwoju dla innowacyjnych rolników i przedsiębiorców. Warsztaty informacyjno-motywacyjne" Włocławek łącznie - 51 osób, Warszaty polowe "Monitoring podstawowych chorób pszenicy w praktyce – rozpoznawanie wybranych chorób w okresie wegetacji" w Falęcinie - 44 osoby, warsztaty sadownicze „Monitoring występowania chorób na plantacjach jabłoni chorób ze szczególnym uwzględnieniem parcha jabłoni” w Lisewie Kościelnym i Starorypinie - 34 osób, Szkolenie polowe w Minikowie "Innowacyjne systemy uprawy roślin polowych przy użyciu agregatów nowej generacji" - 44 osoby,  Szkolenia specjalistyczne „Monitoring agrofagów roślin uprawnych na przykładzie programu SPEC – Monitoring suchej zgnilizny kapustnych” - dwa szkolenia łącznie </t>
    </r>
    <r>
      <rPr>
        <sz val="10"/>
        <rFont val="Calibri"/>
        <family val="2"/>
        <charset val="238"/>
      </rPr>
      <t>72</t>
    </r>
    <r>
      <rPr>
        <sz val="10"/>
        <color indexed="8"/>
        <rFont val="Calibri"/>
        <family val="2"/>
        <charset val="238"/>
      </rPr>
      <t xml:space="preserve"> osoby, „Upowszechnianie wiedzy na temat legalnej sprzedaży produktów lokalnych i tradycyjnych z branży rolno-spożywczej oraz tworzenie kanałów sprzedaży” - warsztaty dla 30 osób.</t>
    </r>
  </si>
  <si>
    <r>
      <rPr>
        <b/>
        <sz val="10"/>
        <color indexed="8"/>
        <rFont val="Calibri"/>
        <family val="2"/>
        <charset val="238"/>
      </rPr>
      <t>2016 r</t>
    </r>
    <r>
      <rPr>
        <sz val="10"/>
        <color indexed="8"/>
        <rFont val="Calibri"/>
        <family val="2"/>
        <charset val="238"/>
      </rPr>
      <t xml:space="preserve">. - zakładka o Sieci na rzecz innowacji w rolnictwie i na obszarach wiejskich na stronie www.kpodr.pl, zamieszczono 34 informacje i artykuły. </t>
    </r>
    <r>
      <rPr>
        <b/>
        <sz val="10"/>
        <color indexed="8"/>
        <rFont val="Calibri"/>
        <family val="2"/>
        <charset val="238"/>
      </rPr>
      <t>W 2017 r.</t>
    </r>
    <r>
      <rPr>
        <sz val="10"/>
        <color indexed="8"/>
        <rFont val="Calibri"/>
        <family val="2"/>
        <charset val="238"/>
      </rPr>
      <t xml:space="preserve"> - w zakładce dotyczącej SIR na stronie www.kpodr.pl zamieszczono 18 artykułów i informacji. </t>
    </r>
  </si>
  <si>
    <r>
      <rPr>
        <b/>
        <sz val="10"/>
        <color theme="1"/>
        <rFont val="Calibri"/>
        <family val="2"/>
        <charset val="238"/>
        <scheme val="minor"/>
      </rPr>
      <t>W 2015 r</t>
    </r>
    <r>
      <rPr>
        <sz val="10"/>
        <color theme="1"/>
        <rFont val="Calibri"/>
        <family val="2"/>
        <charset val="238"/>
        <scheme val="minor"/>
      </rPr>
      <t>oku wydano trzy broszury: 1 - "I Forum Hodowców i Producentów Trzody Chlewnej Kujaw i Pomorza"  - 100 egz., 2- "Innowacje w tuczu trzody chlewnej z wykorzystaniem krajowych żródeł białka roślinnego" - 50 egz., 3- "Polowa pojemność wodna gleb i integrowana ochrona" - 500 egz.</t>
    </r>
    <r>
      <rPr>
        <b/>
        <sz val="10"/>
        <color theme="1"/>
        <rFont val="Calibri"/>
        <family val="2"/>
        <charset val="238"/>
        <scheme val="minor"/>
      </rPr>
      <t>W 2016 roku</t>
    </r>
    <r>
      <rPr>
        <sz val="10"/>
        <color theme="1"/>
        <rFont val="Calibri"/>
        <family val="2"/>
        <charset val="238"/>
        <scheme val="minor"/>
      </rPr>
      <t xml:space="preserve"> wydano ulotkę informacyjną "Dołącz do SIR" - nakład 5000 egz., opublikowano 18 artykułów informujących o SIR i rozwiązaniach innowacyjnych w czasopismie branżowym - miesięczniku "Wieś Kujawsko-Pomorska" . </t>
    </r>
    <r>
      <rPr>
        <b/>
        <sz val="10"/>
        <color theme="1"/>
        <rFont val="Calibri"/>
        <family val="2"/>
        <charset val="238"/>
        <scheme val="minor"/>
      </rPr>
      <t>W</t>
    </r>
    <r>
      <rPr>
        <sz val="10"/>
        <color theme="1"/>
        <rFont val="Calibri"/>
        <family val="2"/>
        <charset val="238"/>
        <scheme val="minor"/>
      </rPr>
      <t xml:space="preserve"> </t>
    </r>
    <r>
      <rPr>
        <b/>
        <sz val="10"/>
        <color theme="1"/>
        <rFont val="Calibri"/>
        <family val="2"/>
        <charset val="238"/>
        <scheme val="minor"/>
      </rPr>
      <t>2017 r.</t>
    </r>
    <r>
      <rPr>
        <sz val="10"/>
        <color theme="1"/>
        <rFont val="Calibri"/>
        <family val="2"/>
        <charset val="238"/>
        <scheme val="minor"/>
      </rPr>
      <t xml:space="preserve"> wydano 2 broszury:  "Innowacyjne rozwiązania w organizacji chowu bydła mięsnego." - nakład 2000 egz. i broszurę pt. "Monitorowanie agrofagów ziemniaka - ocena zdrowotności odmian. Innowacyjne rozwiązania w zakresie postępu biologicznego i ochrony przed patogenami w agrotechnice ziemniaka." - nakład 1000 egz. oraz dodrukowano po zaktualizowaniu ulotkę informacyjną "Dołącz do SIR" - nakład 1000 egz., opublikowano także 9 artykułów dotyczących SIR w czasopismie branżowym miesięczniku wydawanym przez KPODR pt. "Wieś Kujawsko-Pomorska".</t>
    </r>
  </si>
  <si>
    <r>
      <t xml:space="preserve">Zidentyfikowane dobre praktyki w zakresie wdrażania innowacji w rolnictwie i na obszarach wiejskich z terenu województwa </t>
    </r>
    <r>
      <rPr>
        <b/>
        <sz val="10"/>
        <rFont val="Calibri"/>
        <family val="2"/>
        <charset val="238"/>
      </rPr>
      <t>w 2016 r</t>
    </r>
    <r>
      <rPr>
        <sz val="10"/>
        <rFont val="Calibri"/>
        <family val="2"/>
        <charset val="238"/>
      </rPr>
      <t>.: Energooszczędny i innowacyjny proces suszenia warzyw, Gospodarstwa opiekuńcze, Centrum Techniki Rolniczej (centrum szkoleniowe), Innowacyjne produkty mięsne z bakteriami probiotycznymi, Projekt i budowa agregatu uprawowo-siewnego do zasiewów w technologii pasowej (strip till). Siew pszenicy w technologii strip till, Od pola do stołu - Kujawsko-Pomorska Wieprzowina Produkowana z Wykorzystaniem Polskiego Białka Pochodzenia Roślinnego, Soja w województwach kujawsko-pomorskim i wielkopolskim - innowacyjne rozwiązania w uprawie, Innowacyjne rozwiązania w wykorzystaniu agregatu uprawowego do uprawy pasowej.</t>
    </r>
  </si>
  <si>
    <r>
      <t xml:space="preserve"> W 2015 r. nawiązano współpracę i przystąpiono do przygotowania etapu organizacyjnego powołania grup operacyjnych, których celem będzie wdrożenie określonych innowacji. Przedstawiciele Ośrodka rozmawiali między innymi z OHZ Osięciny, BIN, Chłodnia Run we Włocławku, Narolco Rypin, Burmistrz Miasta i Gminy Dobrzyń , Lewandowski Kruszynek. </t>
    </r>
    <r>
      <rPr>
        <b/>
        <sz val="10"/>
        <color theme="1"/>
        <rFont val="Calibri"/>
        <family val="2"/>
        <charset val="238"/>
        <scheme val="minor"/>
      </rPr>
      <t>W 2016 r</t>
    </r>
    <r>
      <rPr>
        <sz val="10"/>
        <color theme="1"/>
        <rFont val="Calibri"/>
        <family val="2"/>
        <charset val="238"/>
        <scheme val="minor"/>
      </rPr>
      <t xml:space="preserve">. nawiązano współpracę i odbyło się 12 spotkań informacyjno-organizacyjnych, których celem będzie wdrożenie określonych innowacji. Przedstawiciele Ośrodka rozmawiali między innymi z: OHZ Osięciny, BIN, Czajkowski Uprawa Pasowa, Korycki TECHKor, Wichliński EUROCENTER, Agrolok, Team-Rol, Geofabryka, Lechpol, Grabowski, Walter i Modraszewski. </t>
    </r>
    <r>
      <rPr>
        <b/>
        <sz val="10"/>
        <color theme="1"/>
        <rFont val="Calibri"/>
        <family val="2"/>
        <charset val="238"/>
        <scheme val="minor"/>
      </rPr>
      <t>W 2017 r</t>
    </r>
    <r>
      <rPr>
        <sz val="10"/>
        <color theme="1"/>
        <rFont val="Calibri"/>
        <family val="2"/>
        <charset val="238"/>
        <scheme val="minor"/>
      </rPr>
      <t xml:space="preserve">. przeprowadzono rozmowy i nawiązano współpracę, odbyły się 44 spotkania informacyjno-organizacyjne, m.in. z : przedstawicielami UTP z Bydgoszczy, Wytwórnią Makaronu Babalscy, BIN Aleksandrów Kujawski, Czajkowski Uprawa Pasowa, P.W. Lechpol, przedstawicielami ITP Ośrodek Badawczy w Bydgoszczy, Gospodasrstwo sadownicze Aleksandra i Witold Szulc, Gospodarstwo sadownicze Jarosław Domasz, Gospodarstwo sadownicze Andrzej Głuszczyński, Eurocenter Fundusze Unijne - Wichliński, Gospodastwo sadownicze Wojciech Pluta, Gospodarstwo sadownicze Mariusz Kuta, przedstawicielem Collegium Medicum UMK Bydgoszcz, Restauracja Ostomecko, Zakłady Mięsne Kwiecińscy, Masarnia Władysławowo, Krajowe Zrzeszenie Producentów Rzepaku i Roślin Białkowych, właściciele gospodarstw: Szczutowo, Kościerzyn Mały, Jędrzejewo, Rypin, Rzemienice, Sicienko, Przedsiębiorstwo Farmet, Agrobiznes Park, HZ Zamarte, IHAR Bydgoszcz, przedstawiciel firmy Rolnas, przedstawiciel gospodastw sadowniczych: Szczutki, Gliszcz, Malice, Łobżenica, Instytutu Ogrodnictwa Skierniewice, Instytutu Hodowli i Aklimatyzacji Roślin Oddział Bydgoszcz. </t>
    </r>
  </si>
  <si>
    <r>
      <rPr>
        <b/>
        <sz val="10"/>
        <color theme="1"/>
        <rFont val="Calibri"/>
        <family val="2"/>
        <charset val="238"/>
        <scheme val="minor"/>
      </rPr>
      <t>W 2016 r</t>
    </r>
    <r>
      <rPr>
        <sz val="10"/>
        <color theme="1"/>
        <rFont val="Calibri"/>
        <family val="2"/>
        <scheme val="minor"/>
      </rPr>
      <t xml:space="preserve">. odbyło się 18 spotkań o charakterze szkoleniowym z rolnikami i przedstawicielami firm branży rolniczej, na których przedstawiono informację o znaczeniu innowacji w rolnictwie i na obszarach wiejskich. Inne - wizyta w Instytucie Technologiczno-Przyrodniczym Oddział w Poznaniu (16.03.2016 r.) w ramach planowanej współpracy, której celem było zapoznanie się z działalnością, bazą badawczą i ofertą związaną z odnawialnymi źródłami energii, które mogą być wykorzystane w gospodarstwach rolnych. </t>
    </r>
    <r>
      <rPr>
        <b/>
        <sz val="10"/>
        <color theme="1"/>
        <rFont val="Calibri"/>
        <family val="2"/>
        <charset val="238"/>
        <scheme val="minor"/>
      </rPr>
      <t>W 2017 r.</t>
    </r>
    <r>
      <rPr>
        <sz val="10"/>
        <color theme="1"/>
        <rFont val="Calibri"/>
        <family val="2"/>
        <scheme val="minor"/>
      </rPr>
      <t xml:space="preserve"> odbyły się 6 spotkań o charakterze szkoleniowym z rolnikami i przedstawiciwelami firm z branży rolniczej.</t>
    </r>
  </si>
  <si>
    <r>
      <rPr>
        <b/>
        <sz val="10"/>
        <color indexed="8"/>
        <rFont val="Calibri"/>
        <family val="2"/>
        <charset val="238"/>
      </rPr>
      <t>W 2016 r.</t>
    </r>
    <r>
      <rPr>
        <sz val="10"/>
        <color indexed="8"/>
        <rFont val="Calibri"/>
        <family val="2"/>
        <charset val="238"/>
      </rPr>
      <t xml:space="preserve"> wizycie w Instytucie Technologiczno-Przyrodniczym w Poznaniu (16 marca) w celu zapoznania się z działalnością tej jednostki, szczególnie w zakresie OZE uczestniczyłyo 4 pracowników Kujawsko-Pomorskiego Ośrodka Doradztwa Rolniczego w Minikowie. </t>
    </r>
  </si>
  <si>
    <t xml:space="preserve">Środki na funkcjonowanie i pochodne obejmujące: wynagrodzenia pracowników zajmujących się SIR, delegacje, koszty związane z wyjazdami służbowymi, szkoleniami. Koszty działań zamieszczonych w tabeli 2.1, 4.2 (dotyczące 2016 r.) oraz 3.,4., 6. mieszczą się w kosztach funkcjonowania. </t>
  </si>
  <si>
    <t>Budżet w PLN</t>
  </si>
  <si>
    <t>[Lubelski Ośrodek Doradztwa Rolniczego w Końskowoli]</t>
  </si>
  <si>
    <t>administrowanie zakładką SIR na stronie www.wodr.konskowola.pl  w ramach funcjonowania, brak możliwości sprawdzenia liczby unikalnych użytkowników strony</t>
  </si>
  <si>
    <t>artykuł „Sieć na rzecz innowacji” w gazecie wydawanej przez LODR w Końskowoli -  Lubelskie Aktualności Rolnicze nakład 6600 egz., zadanie wykonane w ramach funcjnonowania Sieci</t>
  </si>
  <si>
    <t>inne - wyjazd szkoleniowo-studyjny , seminarium połączone z wyjazdem studyjnym</t>
  </si>
  <si>
    <t>liczba uczestników innych lub … - uczestnicy wyjazdu szkoleniowo-studyjnego, uczestnicy seminarium połączonego z wyjazdem studyjnym
przedstawiciele innych grup interesariuszy - rolnicy</t>
  </si>
  <si>
    <t>Środki na funkcjonowanie obejmujące: wynagrodzenia pracowników, delegacje, administrowanie zakładką SIR na stronie WODR, szkolenie pracowników SIR, pozyskiwanie Partnerów, współpraca z jednostkami badawczymi</t>
  </si>
  <si>
    <t>Lubuski Ośrodek Doradztwa Rolniczego</t>
  </si>
  <si>
    <t>PO 2016-2017 zrealizowano 11 operacji w 2016 r., w tym: 1 operacja składała się z dwóch szkoleń; 1 operacja z 6 przedsiewzięć informacyjno-promocyjnych i aktywizacyjnych tj. stoiska. W 2017 r. na dzień 31.12.2017 r. zostały zrealizowane wszystkie operacje ujęte w Planie Operacynym KSOW 2016-2017 w województwie lubuskim, w tym: 1 operacja składająca sie z organizacji 6 stoisk informacyjno-promocyjnych podczas kluczowych imprez w województwie (zrealizowano 5, Lubuskie Forum Gospodarcze w 2017 nie zostało zorganizowane); i operacja składała się ze szkolenia 4 warsztatów tematycznych oraz konferencji podsumowującej.</t>
  </si>
  <si>
    <t>PO 2016-2017 w 2016 r. zrealizowano 11 operacji, w tym: 1 operacja składała się z dwóch szkoleń; 1 operacja z 6 przedsiewzięć informacyjno-promocyjnych i aktywizacyjnych tj. stoiska, dodatkowo:
- 10 dziesięciu laureatów konkursu wiedzy o innowacjach w rolnictwie i na obszarach wiejskich - Targi rolnicze Lubniewice (Glisno)
- 10 dziesięciu laureatów konkursu wiedzy o innowacjach w rolnictwie i na obszarach wiejskich - AGRO-TARG Kalsk
- 10 dziesięciu laureatów konkursu wiedzy o innowacjach w rolnictwie i na obszarach wiejskich - Jesień w Gliśnie (Glisno)
- 10 dziesięciu laureatów konkursu wiedzy o innowacjach w rolnictwie i na obszarach wiejskich - Kiermasz Ogrodniczy Kalsk
- 10 dziesięciu laureatów konkursu wiedzy o innowacjach w rolnictwie i na obszarach wiejskich - Lubuskie Forum Gospodarcze
- 10 dziesięciu laureatów konkursu wiedzy o innowacjach w rolnictwie i na obszarach wiejskich Dożynki Wojewódzkie 
oraz 9 szkoleń, wyjazdów studyjnych, konferencji w ramach działani 2 i 5. w 2017 po zmianie PO na lata 2016-2017 wprowadzono 7 nowych operacji, przejęto jedną operację partnera, który się wycofał z realizacji oraz dwie zakontraktowane przy pierwotnym PO.
W 2017 r. zrealizowana 10 operacji w tym: 1 operacja składała się z dwóch szkoleń; 1 operacja z 5 przedsiewzięć informacyjno-promocyjnych i aktywizacyjnych tj. stoiska, dodatkowo:
- 10 dziesięciu laureatów konkursu wiedzy o innowacjach w rolnictwie i na obszarach wiejskich - Targi rolnicze Lubniewice (Glisno)
- 10 dziesięciu laureatów konkursu wiedzy o innowacjach w rolnictwie i na obszarach wiejskich - AGRO-TARG Kalsk
- 10 dziesięciu laureatów konkursu wiedzy o innowacjach w rolnictwie i na obszarach wiejskich - Jesień w Gliśnie (Glisno)
- 10 dziesięciu laureatów konkursu wiedzy o innowacjach w rolnictwie i na obszarach wiejskich - Kiermasz Ogrodniczy Kalsk
- 10 dziesięciu laureatów konkursu wiedzy o innowacjach w rolnictwie i na obszarach wiejskich Dożynki Wojewódzkie 
oraz 9 szkoleń, wyjazdów studyjnych, konferencji w ramach działani 2 i 5. 
W 2017 przejęto i zrealizowano operację partnera, jako operacje własną.</t>
  </si>
  <si>
    <t>2016-2017 w 2016 r.
opublikowano 37 ogloszeń/ artykułów w Lubuskich Aktualnościach Rolniczych, zamieszczono 31 informacji internetowych. 
W 2017 r. opublikowano ogłoszenia nt. stoisk inforacyjno-promocyjnych w dwóch gazetach targowych (21 aktykułów/ ogłoszeń) w czasopiśmie LODR oraz na www.lodr.pl 23 publikacji (ogłoszenia, felaje, artykuły, fotorealacje), www.hodowlazwierzat.pl - partner sieci, 2 publikacje (ogłoszenia/relacje).</t>
  </si>
  <si>
    <t>W 2016 zorganizowano 6 konkursów wiedzy nt. innowacji w rolnictwie i na obszarach wiejskich w ramach operacji Stoiska inforacyjno-promocyjne nosnikiem informacji o innowacjach, zorganizane podczas imprez targowych. 
W 2017 zrealizowano pięć stoisk w ramach PO 2016-2017 (operacja dotyczy 6 stoisk informacyno-promocyjnych) oraz w ramach funkcjonowania sieci podczas warsztatów polowych 13 czerwca br., podczas Dni Pola Kukurydzy 18 września, poza planem operacyjnym.</t>
  </si>
  <si>
    <t>2017 rok: organizacja stoisk informacyjno-promocyjnych podczas warsztatów polowych PDO (13 czerwca 2017 r.), dni pola kukurydzy (18 wrzesień 2017 r.), sejmiku województwa lubuskiego (6 marca 2017 r.)</t>
  </si>
  <si>
    <t>Koszty funkcjonowania (wszystkie koszty administracyjne, materiały, koordynacja, itp.) Proszę określ je w komentarzach.
Koszty funkcjonowania obejmują: 
w 2014-2015                                       
1. Organizacja 2-ch spotkań informacyjno-szkoleniowych dla pracowników LODR               
2. Wynagrodzenia pracowników, którzy w ramach zadań:                           
- prowadzą bieżącą wymianę informacji oraz konsultacje w/s SIR,             
- nawiązując współpracę z jednostkami naukowymi, instytutami i organizacjami,               
- promowali Sieć                                        
3. Wyjazdy służbowe - krajowe 
4. Adaptacja i doposażenie biur
w latach: 2016-2017
koszty funkcjonowania: płace, wraz z pochodnymi, delegacje, paliwo, mat.biurowe, telefony, stoisko informacyjne poza PO 2016-2017.</t>
  </si>
  <si>
    <t>Łódzki Ośrodek Doradztwa Rolniczego - SIR</t>
  </si>
  <si>
    <t xml:space="preserve">Rok 2016
I) Zasięg lokalny/regionalny – Operacje:
1) Stoiska informacyjne „Przykłady  i promocja  Sieci na rzecz innowacji w rolnictwie i na obszarach wiejskich”:
• XXVI Targi Rolniczo-Ogrodnicze w Kościerzynie.
• Targi Rolne „W Sercu Polski” XXIII Wojewódzka Wystawa Zwierząt Hodowlanych. 
• XXV Promocyjno-Handlowa Wystawa Rolnicza ROL–SZANSA 2016.
• Dożynki wojewódzkie w Piątku
2) Stoiska targowe w ramach funkcjonowania:
• XXIV Targi Rolne AGROTECHNIKA
II) Zasięg krajowy: 
1) Stoiska targowe w ramach funkcjonowania:
• XXIII Krajowe Dni Ziemniaka - Kościerzyński Dzień Ziemniaka
Rok 2017
I) Zasięg lokalny/regionalny – Operacje:
1) Stoisko informacyjne „Przykłady  i promocja  Sieci na rzecz innowacji w rolnictwie i na obszarach wiejskich”
• XXVII Targi Rolniczo-Ogrodnicze w Kościerzynie
• Targi Rolne „W Sercu Polski” XXIV Wojewódzka Wystawa Zwierząt Hodowlanych
• XXVI Promocyjno-Handlowa Wystawa Rolnicza ROL-SZANSA 2017
• Dożynki Wojewódzkie w Sędziejowicach
2) Stoiska targowe w ramach funkcjonowania:
• XXV Targi Rolne AGROTECHNIKA
3) Konferencja „Czas na ekologię”
II) Zasięg międzynarodowy:
1) Stoiska targowe w ramach funkcjonowania:
• XVII Międzynarodowe Targi Ferma Bydła i XX Międzynarodowe Targi Ferma Świń i Drobiu
</t>
  </si>
  <si>
    <t xml:space="preserve">Rok 2016
I) Zasięg lokalny/regionalny – Operacje:
1) Stoiska informacyjne „Przykłady  i promocja  Sieci na rzecz innowacji w rolnictwie i na obszarach wiejskich”:
• XXVI Targi Rolniczo-Ogrodnicze w Kościerzynie. – 13 000 odwiedzających
• Targi Rolne „W Sercu Polski” XXIII Wojewódzka Wystawa Zwierząt Hodowlanych.  – 13000 odwiedzających
• XXV Promocyjno-Handlowa Wystawa Rolnicza ROL–SZANSA 2016. – 12000 odwiedzających
• Dożynki wojewódzkie w Piątku - 7000 odwiedzających
2) Stoiska targowe w ramach funkcjonowania:
• XXIV Targi Rolne AGROTECHNIKA – 12000 odwiedzających
II) Zasięg krajowy: 
1) Stoiska targowe w ramach funkcjonowania:
• XXIII Krajowe Dni Ziemniaka - Kościerzyński Dzień Ziemniaka – 15000 odwiedzających 
Rok 2017
I) Zasięg lokalny/regionalny – Operacje:
1) Stoisko informacyjne „Przykłady  i promocja  Sieci na rzecz innowacji w rolnictwie i na obszarach wiejskich”
• XXVII Targi Rolniczo-Ogrodnicze w Kościerzynie – 11000 odwiedzających 
• Targi Rolne „W Sercu Polski” XXIV Wojewódzka Wystawa Zwierząt Hodowlanych. – 12000 odwiedzających
• XXVI Promocyjno-Handlowa Wystawa Rolnicza ROL-SZANSA 2017 – 11000 odwiedzających
• Dożynki Wojewódzkie w Sędziejowicach – 5400 odwiedzających
2) Stoiska targowe w ramach funkcjonowania:
• XXV Targi Rolne AGROTECHNIKA – 10000 odwiedzających
3) Konferencja „Czas na ekologię” – 100 uczestników 
II) Zasięg międzynarodowy:
1) Stoiska targowe w ramach funkcjonowania:
• XVII Międzynarodowe Targi Ferma Bydła i XX Międzynarodowe Targi Ferma Świń i Drobiu – 31000 odwiedzających (źródło:  http://targiferma.com.pl/pl/start/)
</t>
  </si>
  <si>
    <t>Statystyka odwiedzin strony ŁODR - brak statystyk wejść na zakładkę SIR na stronie ŁODR</t>
  </si>
  <si>
    <t xml:space="preserve">Rok 2017
3 artykuły, relację, ogłoszenia umieszczone na stronie facebook ŁODR w Bratoszewicach </t>
  </si>
  <si>
    <t xml:space="preserve">Rok 2016
33 artykuły, relację, ogłoszenia umieszczone na stronie internetowej ŁODR w zakładce SIR
10 artykułów, informacji targowych, ogłoszeń itp. w lokalnych gazetach, miesięczniku ŁODR „RADA”, gazetkach targowych.
Rok 2017
38 artykuły, relację, ogłoszenia umieszczone na stronie internetowej ŁODR w zakładce SIR
10 artykułów, informacji targowych, ogłoszeń itp. w lokalnych gazetach, miesięczniku ŁODR „RADA”, gazetkach targowych.
</t>
  </si>
  <si>
    <t xml:space="preserve">Rok 2017 
Udział pracownika SIR w programie telewizyjnym na żywo TVP3 "Łodzią po regionie"
Udział pracownika SIR w programie telewizyjnym na żywo TVP3 "To jest temat"
</t>
  </si>
  <si>
    <t xml:space="preserve">Rok 2015:
I) Zasięg lokalny/regionalny - Operacje:
1) „Innowacyjne metody w genetycznym doskonaleniu bydła mlecznego”
2) „Innowacyjne technologie w przechowalnictwie owoców”
3) Spotkania i szkolenia przeprowadzone w ramach funkcjonowania – 15 spotkań                                                                                                                                                                                                                                                                         Rok 2016
I) Zasięg lokalny/regionalny – Operacje:
1) Seminarium „Owady zapylające – szansą na przetrwanie rolnictwa” część I – składa się z 1 dniowego szkolenia i 2 dniowego wyjazdu studyjnego
2) Seminarium „Innowacyjność w rolnictwie – szansą na rozwój” - 1 dzień
3) Seminarium „Innowacyjne technologie w przetwórstwie owocowo-warzywnym” - 1 dzień
4) Seminarium „Innowacyjny system utrzymania klimatu w budynkach inwentarskich” - 1 dzień
5) Spotkania i szkolenia przeprowadzone w ramach operacji „Działania informacyjno-aktywizujące brokera innowacji formą identyfikacji problemów w rolnictwie, mogących stanowić podstawę do powstawania innowacyjnych grup operacyjnych” oraz w ramach funkcjonowania – 53 spotkania 
Rok 2017
I) Zasięg lokalny/regionalny – Operacje:
1) Wyjazd studyjny pn. „Poszukiwanie i przygotowanie potencjalnych członków grup operacyjnych w województwie łódzkim – na przykładzie dobry praktyk z województwa opolskiego” – 2 dni
2) Seminarium pn. „Innowacyjne sposoby ochrony roślin sadowniczych” – 2 dni
3) Seminarium pn. "Nowości w produkcji trzody chlewnej" - 1 dzień
4) Wyjazd studyjny pn. „Innowacyjne i ekologiczne metody przetwórstwa produktów rolnych szansą na przetrwanie małych gospodarstw rolnych na ziemi łódzkiej” – 3 dni
5) Wyjazd studyjny pn. „Innowacyjne rozwiązania w uprawach ekologicznych, hodowli zwierząt, produkcji biopaliw wdrażane na terenach województwa podlaskiego” – 3 dni
6) Seminarium pn. „Owady zapylające – szansą na przetrwanie rolnictwa” część II – składa się z 1 dniowego szkolenia i 2 dniowego wyjazdu studyjnego
7) Szkolenie pn. „Postęp biologiczny w hodowli ziemniaka" - 1 dzień
8) Seminarium pn. „Innowacyjne sposoby ochrony roślin warzywnych” – 2 dni
9) Seminarium „Poszukiwanie i przygotowanie potencjalnych członków grup operacyjnych w województwie łódzkim” – operacja składała się z 4 jednodniowych warsztatów oraz 3 dniowego wyjazdu studyjnego 
10) Spotkania i szkolenia przeprowadzone w ramach operacji „Działania informacyjno-aktywizujące brokera innowacji formą identyfikacji problemów w rolnictwie, mogących stanowić podstawę do powstawania innowacyjnych grup operacyjnych” oraz w ramach funkcjonowania – 40 spotkań
</t>
  </si>
  <si>
    <t xml:space="preserve">Rok 2015:
I) Zasięg lokalny/regionalny - Operacje:
1) „Innowacyjne metody w genetycznym doskonaleniu bydła mlecznego” – 55 uczestników
2) „Innowacyjne technologie w przechowalnictwie owoców” – 52 uczestników 
3) Spotkania i szkolenia przeprowadzone w ramach funkcjonowania – 132 uczestników
Rok 2016
II) Zasięg lokalny/regionalny – Operacje:
1) „Owady zapylające – szansą na przetrwanie rolnictwa” część I – 54 uczestników
2) „Innowacyjność w rolnictwie – szansą na rozwój” – 49 uczestników 
3) „Innowacyjne technologie w przetwórstwie owocowo-warzywnym” – 48 uczestników
4) „Innowacyjny system utrzymania klimatu w budynkach inwentarskich” – 50 uczestników
5) Spotkania i szkolenia przeprowadzone w ramach operacji „Działania informacyjno-aktywizujące brokera innowacji formą identyfikacji problemów w rolnictwie, mogących stanowić podstawę do powstawania innowacyjnych grup operacyjnych” oraz w ramach funkcjonowania – 436 uczestników 
Rok 2017
II) Zasięg lokalny/regionalny – Operacje:
1) Wyjazd studyjny pn. „Poszukiwanie i przygotowanie potencjalnych członków grup operacyjnych w województwie łódzkim – na przykładzie dobry praktyk z województwa opolskiego” – 30 uczestników
2) Seminarium pn. „Innowacyjne sposoby ochrony roślin sadowniczych” – 40 uczestników
3) Seminarium pn. "Nowości w produkcji trzody chlewnej" – 65 uczestników
4) Wyjazd studyjny pn. „Innowacyjne i ekologiczne metody przetwórstwa produktów rolnych szansą na przetrwanie małych gospodarstw rolnych na ziemi łódzkiej” – 30 uczestników
5) Wyjazd studyjny pn. „Innowacyjne rozwiązania w uprawach ekologicznych, hodowli zwierząt, produkcji biopaliw wdrażane na terenach województwa podlaskiego” – 50 uczestników
6) Seminarium pn. „Owady zapylające – szansą na przetrwanie rolnictwa” – 50 uczestników
7) Szkolenie pn. „Postęp biologiczny w hodowli ziemniaka" – 65 uczestników
8) Seminarium pn. „Innowacyjne sposoby ochrony roślin warzywnych” – 40 uczestników
9) Seminarium „Poszukiwanie i przygotowanie potencjalnych członków grup operacyjnych w województwie łódzkim” – operacja składała się z 4 jednodniowych warsztatów łącznie 120 uczestników oraz 3 dniowego wyjazdu studyjnego – 38 uczestników
10) Spotkania i szkolenia przeprowadzone w ramach operacji „Działania informacyjno-aktywizujące brokera innowacji formą identyfikacji problemów w rolnictwie, mogących stanowić podstawę do powstawania innowacyjnych grup operacyjnych” oraz w ramach funkcjonowania – 318 uczestników
</t>
  </si>
  <si>
    <t>rolnicy, hodowcy, plantatorzy, przedsiębiorcy, weterynarze, pracownicy instytutów naukowych i uczelni itp..</t>
  </si>
  <si>
    <t>Wynagrodzenia pracownikiów wraz z kosztami pracodawcy; Materiały, energia, remont, sprzątanie pomieszczeń, usł. telekomunikacyjne, podróże służbowe, ZFŚS</t>
  </si>
  <si>
    <t>Małopolski Ośrodek Doradztwa Rolniczego w Karniowicach (stan na dzień 2017-12-31)</t>
  </si>
  <si>
    <t xml:space="preserve">Na stronie  Małopolskiego Ośrodka Doradztwa Rolniczego w Karniowicach od 2016 znajdowała się zakładka dotycząca działań SIR, która była na bieżąco aktualizowana. Strona nie posiadała  funkcjonalności pozwalającej na analizowanie szczegółowych statystyk odwiedzin, stąd niemożliwe jest określenie liczby wejść na podstronę SIR.  </t>
  </si>
  <si>
    <t>W kolumnie inne wskazano 2 konferencje.</t>
  </si>
  <si>
    <t>W ramach przedstawicieli innych grup interesariuszy uwzględniono w szczególności  rolników oraz przedsiębiorców.</t>
  </si>
  <si>
    <t>Koszty funkcjonowania obejmowały wynagrodzenia pracowników biura SIR wraz z pochodnymi oraz koszty przejazdów a w 2015 roku również zakup sprzetu komputerowego, wyposażenia biura oraz materialów biurowych.</t>
  </si>
  <si>
    <t>Mazowiecki Ośrodek Doradztwa Rolniczego</t>
  </si>
  <si>
    <t>W roku 2015 i  2016: 1.Mazowieckie Dni Rolnictwa w Płońsku - impreza o zasięgu krajowym, której MODR jest organizatorem. Podczas  Mazowieckich Dni Rolnictwa  
zorganizowano punkt konsultacyjny dla Instytutów na temat innowacji. 2. Stoisko promocyjne SIR podczas Międzynarodowych Dni z Doradztwem w Siedlcach 2017: 1. Stoisko promocyjne podczas Mazowieckich Dni Rolnictwa w Płońsku. 2. Stosiko promocyjne podczas MIędzynarodowych Dni z Doradztwem Rolniczym w Siedlcach</t>
  </si>
  <si>
    <t xml:space="preserve">2015: nie da się precyzyjnie oszacować ilości odwiedzających stoisko. Przyjęto szacunkową ilośc odwiedzających stoisko po ok 100.  2016: 1. Mazowieckie Dni Rolnictwa w Płońsku - impreza o zasięgu krajowym, punkt konsultacyjny odwiedziło ok. 100 osób (oszacowano na podstawie rozdanych ulotek SIR).                                                      2. XXIII Międzynarodowe Dni z Doradztwem w Siedlcach - impreza o zasięgu krajowym- ok. 100 tys. odwiedzających. Rozdano 150 ulotek dlatego liczbę osób odzwiedzających stoisko oszacowano na tej podstawie.                           2017: 1. Mazowieckie Dni Rolnictwa w Płońsku - impreza o zasięgu krajowym, punkt konsultacyjny odwiedziło ok. 100 osób (oszacowano na podstawie rozdanych ulotek SIR). Międzynarodowe Dni z Doradztwem w Siedlcach - impreza o zasięgu krajowym </t>
  </si>
  <si>
    <t>zakładka SIR na stronie internetowej www.modr.mazowsze.pl</t>
  </si>
  <si>
    <t xml:space="preserve"> INNE - 2016: 1. "Możliwości utylizacji odpadów organicznych, poprawy plonowania i właściwości gleb przez zastosowanie biowęgla" - organizator, 1 konferencja dla 50 osób  2. Perspektywy kreowania korytarzy ekologicznych w skali lokalnej z korzyścią dla przyrody i rolnika -organizator -  1 spotkanie dla 50 osób 3. Konferecja "Utworzenie Mazowieckiego Parku Naukowo Technologicznego Poświętne w Płońsku" 4. "Nauka praktyce w obszarze innowacyjnych technologii rolniczych w kształtowaniu i ochronie środowiska" 3 konferencje. 2017: 1. konferencja "Przetwórstwo owocow-warzywne na poziomie gospodasrtwa, obszarem partnerstwa do współpracy w ramach PROW 2014-2020" 2. konferencja "Poprawa bazy paszoej dla bydła z zastosowaniem innowacyjnych rozwiązań w przygotowaniu i zadawaniu pasz"</t>
  </si>
  <si>
    <t>1. "Możliwości utylizacji odpadów organicznych, poprawy plonowania i właściwości gleb przez zastosowanie biowęgla" -      1 konferencja dla 50 osób      2. 3 konferencje w ramach operacji "Nauka praktyce w kształtoaniu i ochronie środowiska"                                                 3. Perspektywy kreowania korytarzy ekologicznych w skali lokalnej z korzyścią dla przyrody i rolnika - 1 spotkanie dla 50 osób                     4. Konferencja w ramach operacji "Utworzenie Mazowieckiego PArku Naukowo Technologicznego Poświętne w Płońsku" 2017: 1. konferencja "Przetwórstwo owocow-warzywne na poziomie gospodasrtwa, obszarem partnerstwa do współpracy w ramach PROW 2014-2020" 2. konferencja "Poprawa bazy paszoej dla bydła z zastosowaniem innowacyjnych rozwiązań w przygotowaniu i zadawaniu pasz"    Grupa innych interesariuszy stanowią rolnicy/mieszkańcy obszarów wiejskich/przetwórcy/     producenci rolni</t>
  </si>
  <si>
    <t xml:space="preserve">Wydarzenia z tab. 1 były organizowane przy okazji dużych imprez MODR i na ich organizację nie wykorzystywano środków SIR. Strona internetowa - zakładka SIR funkcjonuje w ramach strony www.modr.mazowsze.pl i nie generuje kosztów.  2016 - utrzymanie 1 etatu koordynatora (2 osoby po 50%); 2017 - od stycznia 1 etat koordynator, od lutego 50% etatu broker innowacji, od września 50% etatu broker innowacji </t>
  </si>
  <si>
    <t>Opolski Ośrodek Doradztwa Rolniczego w Łosiowie</t>
  </si>
  <si>
    <r>
      <rPr>
        <b/>
        <sz val="10"/>
        <color indexed="8"/>
        <rFont val="Calibri"/>
        <family val="2"/>
        <charset val="238"/>
      </rPr>
      <t>ROK 2016</t>
    </r>
    <r>
      <rPr>
        <sz val="10"/>
        <color indexed="8"/>
        <rFont val="Calibri"/>
        <family val="2"/>
        <charset val="238"/>
      </rPr>
      <t xml:space="preserve"> Operacja 1 pn.:"Sieć na rzecz innowacji w rolnictwie i na obszarach wiejskich dla województwa opolskiego", obejmująca 1 konferencję (maj) i 6 spotkań informacyjno-szkoleniowych (październik)-P1; Operacja 2 pn.:"Forum Agro Inwestor OZE - dobre przykłady wdrażania innowacji. Gospodarka niskoemisyjna w rolnictwie", obejmująca 1 forum (maj)-P1,P5; Operacja 3 pn.:"Konferencja promująca innowacyjność i dobre praktyki w gospodarstwach rolnych, przedsiębiorstwach przetwórstwa rolno-spożywczego i usług rolniczych biorących udział w konkursie AgroLiga 2016", obejmująca 1 konferencję (czerwiec)-P1,P2; Operacja 4 pn."W przyjaźni z naturą", obejmująca 11 warsztatów (wrzesień-październik), 1 konferencję (listopad), 1 katalog (listopad) -P1,P5; Operacja 5 pn."Zrozumieć innowacje w rolnictwie i na obszarach wiejskich – ponadregionalna wymiana doświadczeń w zakresie funkcjonowania SIR na przykładzie działań tworzenia sieci kontaktów i wdrażania innowacji na obszarach wiejskich", obejmująca 1 warsztat (listopad)-P1; Operacja 6 pn.:"Przedsiębiorczość na obszarach wiejskich – innowacyjność organizacyjna i marketingowa”,obejmująca 1 warsztat-P1,P2; współorganizacja wydarzeń krajowych: Urząd Marszałkowski Województwa Opolskiego,Politechnika Opolska, Uniwersytet Ekonomiczny we Wrocławiu, Uniwersytet Opolski </t>
    </r>
    <r>
      <rPr>
        <b/>
        <sz val="10"/>
        <color indexed="8"/>
        <rFont val="Calibri"/>
        <family val="2"/>
        <charset val="238"/>
      </rPr>
      <t>ROK 2017</t>
    </r>
    <r>
      <rPr>
        <sz val="10"/>
        <color indexed="8"/>
        <rFont val="Calibri"/>
        <family val="2"/>
        <charset val="238"/>
      </rPr>
      <t xml:space="preserve"> Operacja 1 Wydanie publikacji pn.: "Zrozumieć innowacje w rolnictwie - informacje wybrane", obejmująca wydanie publikacji w nakładzie 300 sztuk (wrzesień) - P1; Operacja 2 Wyjazd studyjny pn.: "Innowacyjne formy współdziałania producentów rolnych" (wrzesień), obejmująca jeden wyjazd studyjny-P1; Operacja 3 pn.:"Rolnictwo precyzyjne drogą do zwiększenia innowacyjności rolnictwa", obejmująca jedne warsztaty (październik)-P1;</t>
    </r>
  </si>
  <si>
    <r>
      <rPr>
        <b/>
        <sz val="10"/>
        <color indexed="8"/>
        <rFont val="Calibri"/>
        <family val="2"/>
        <charset val="238"/>
      </rPr>
      <t>ROK 2016</t>
    </r>
    <r>
      <rPr>
        <sz val="10"/>
        <color indexed="8"/>
        <rFont val="Calibri"/>
        <family val="2"/>
        <charset val="238"/>
      </rPr>
      <t xml:space="preserve"> liczba uczestników Operacja 1 pn.:"Sieć na rzecz innowacji w rolnictwie i na obszarach wiejskich dla województwa opolskiego"-320 osób, w tym: konferencja 80 osób, 6 szkoleń 240 osób; liczba uczestników Operacja 2 pn.:"Forum Agro Inwestor OZE - dobre przykłady wdrażania innowacji. Gospodarka niskoemisyjna w rolnictwie": 80 osób; liczba uczestników Operacja 3 pn.:"Konferencja promująca innowacyjność i dobre praktyki w gospodarstwach rolnych, przedsiębiorstwach przetwórstwa rolno-spożywczego i usług rolniczych biorących udział w konkursie AgroLiga 2016"-100 osób; liczba uczestników Operacja 4 pn.:"W przyjaźni z naturą"- 168 osób, w tym: konferencja 80 osób, 11 warsztatów 88 osób; liczba uczestników Operacja 5 pn.:"Zrozumieć innowacje w rolnictwie i na obszarach wiejskich – ponadregionalna wymiana doświadczeń w zakresie funkcjonowania SIR na przykładzie działań tworzenia sieci kontaktów i wdrażania innowacji na obszarach wiejskich"-25 osób; liczba uczestników Operacja 6 pn.:"Przedsiębiorczość na obszarach wiejskich-innowacyjność organizacyjna i marketingowa"-35 osób; </t>
    </r>
    <r>
      <rPr>
        <b/>
        <sz val="10"/>
        <color indexed="8"/>
        <rFont val="Calibri"/>
        <family val="2"/>
        <charset val="238"/>
      </rPr>
      <t>ROK 2017</t>
    </r>
    <r>
      <rPr>
        <sz val="10"/>
        <color indexed="8"/>
        <rFont val="Calibri"/>
        <family val="2"/>
        <charset val="238"/>
      </rPr>
      <t xml:space="preserve"> Operacja 2 Wyjazd studyjny pn.: "Innowacyjne formy współdziałania producentów rolnych"- 30 osób; Operacja 3 "Rolnictwo precyzyjne drogą do zwiększenia innowacyjności rolnictwa" - 30 osób</t>
    </r>
  </si>
  <si>
    <r>
      <rPr>
        <b/>
        <sz val="10"/>
        <color indexed="8"/>
        <rFont val="Calibri"/>
        <family val="2"/>
        <charset val="238"/>
      </rPr>
      <t>ROK 2016</t>
    </r>
    <r>
      <rPr>
        <sz val="10"/>
        <color indexed="8"/>
        <rFont val="Calibri"/>
        <family val="2"/>
        <charset val="238"/>
      </rPr>
      <t xml:space="preserve"> całkowita liczba wizyt na stronie oodr.pl z zakładką SIR od dnia 01.01.2016 r. do dnia 31.12.2016 r. </t>
    </r>
    <r>
      <rPr>
        <b/>
        <sz val="10"/>
        <color indexed="8"/>
        <rFont val="Calibri"/>
        <family val="2"/>
        <charset val="238"/>
      </rPr>
      <t>ROK 2017</t>
    </r>
    <r>
      <rPr>
        <sz val="10"/>
        <color indexed="8"/>
        <rFont val="Calibri"/>
        <family val="2"/>
        <charset val="238"/>
      </rPr>
      <t xml:space="preserve"> Statystyki strony www.sir.oodr.pl od dnia 01.01.2017 r. do dnia 31.12.2017 r.</t>
    </r>
  </si>
  <si>
    <r>
      <rPr>
        <b/>
        <sz val="10"/>
        <color theme="1"/>
        <rFont val="Calibri"/>
        <family val="2"/>
        <charset val="238"/>
        <scheme val="minor"/>
      </rPr>
      <t xml:space="preserve">ROK 2016 </t>
    </r>
    <r>
      <rPr>
        <sz val="10"/>
        <color theme="1"/>
        <rFont val="Calibri"/>
        <family val="2"/>
        <charset val="238"/>
        <scheme val="minor"/>
      </rPr>
      <t xml:space="preserve">łączna liczba publikacji: 2 publikacje w ramach dwóch operacji ,tj. Operacja 1 pn.:"Konferencja promująca innowacyjność i dobre praktyki w gospodarstwach rolnych, przedsiębiorstwach przetwórstwa rolno-spożywczego i usług rolniczych biorących udział w konkursie AgroLiga 2016"- P1,P2-katalog w nakładzie 120 sztuk; Operacja 2 pn.:"W przyjaźni z naturą"-P1,P5-katalog w nakładzie 500 sztuk </t>
    </r>
    <r>
      <rPr>
        <b/>
        <sz val="10"/>
        <color theme="1"/>
        <rFont val="Calibri"/>
        <family val="2"/>
        <charset val="238"/>
        <scheme val="minor"/>
      </rPr>
      <t>ROK 2017</t>
    </r>
    <r>
      <rPr>
        <sz val="10"/>
        <color theme="1"/>
        <rFont val="Calibri"/>
        <family val="2"/>
        <charset val="238"/>
        <scheme val="minor"/>
      </rPr>
      <t xml:space="preserve"> 1 publikacja pn.: "Zrozumieć innowacje w rolnictwie - informacje wybrane" w nakładzie 300 sztuk w ramach Operacji 1; dodatkowo publikacja 9 artykułów o tematyce innowacji w rolnictwie (bez ponoszenia kosztów) </t>
    </r>
  </si>
  <si>
    <r>
      <rPr>
        <b/>
        <sz val="10"/>
        <color indexed="8"/>
        <rFont val="Calibri"/>
        <family val="2"/>
        <charset val="238"/>
      </rPr>
      <t>ROK 2016</t>
    </r>
    <r>
      <rPr>
        <sz val="10"/>
        <color indexed="8"/>
        <rFont val="Calibri"/>
        <family val="2"/>
        <charset val="238"/>
      </rPr>
      <t xml:space="preserve"> 2 filmy-P1,P2; 1 konkurs-P1,P5; 2 spoty radiowe-P1,P5; 2 ogłoszenia w prasie-P1,P5;1 ogłoszenie na portalu internetowym-P1,P5; 3 zaproszenia dla uczestników wydarzeń-P1,P2,P5</t>
    </r>
  </si>
  <si>
    <r>
      <rPr>
        <b/>
        <sz val="10"/>
        <color theme="1"/>
        <rFont val="Calibri"/>
        <family val="2"/>
        <charset val="238"/>
        <scheme val="minor"/>
      </rPr>
      <t>ROK 2016</t>
    </r>
    <r>
      <rPr>
        <sz val="10"/>
        <color theme="1"/>
        <rFont val="Calibri"/>
        <family val="2"/>
        <scheme val="minor"/>
      </rPr>
      <t xml:space="preserve"> całkowita liczb szkoleń/warsztatów w ramach Operacji-19, w tym: 6 szkoleń w ramach Operacji 1 pn.:"Konferencja i spotkania informacyjno-szkoleniowe pt.:Sieć na rzecz innowacji w rolnictwie i na obszarach wiejskich dla województwa opolskiego", 11 warsztatów w ramach Operacji 2 pn.:"Organizacja zadania pt.:W przyjaźni z naturą, obejmującego konferencję, konkursy i warsztaty, promującego innowacyjne rozwiązania w gospodarstwach rolnych", 1 warsztat w ramach Operacji 3 pn.:"Zrozumieć innowacje w rolnictwie i na obszarach wiejskich – ponadregionalna wymiana doświadczeń w zakresie funkcjonowania SIR na przykładzie działań tworzenia sieci kontaktów i wdrażania innowacji na obszarach wiejskich", 1 warsztat w ramach Operacji 4 pn.:"Szkolenie w formie warsztatów pt.:Przedsiębiorczość na obszarach wiejskich – innowacyjność organizacyjna i marketingowa” </t>
    </r>
    <r>
      <rPr>
        <b/>
        <sz val="10"/>
        <color theme="1"/>
        <rFont val="Calibri"/>
        <family val="2"/>
        <charset val="238"/>
        <scheme val="minor"/>
      </rPr>
      <t>ROK 2017</t>
    </r>
    <r>
      <rPr>
        <sz val="10"/>
        <color theme="1"/>
        <rFont val="Calibri"/>
        <family val="2"/>
        <scheme val="minor"/>
      </rPr>
      <t xml:space="preserve"> przeprowadzenie spotkań informacyjno-szkoleniowych dot. działania Współpraca i tworzenia grup operacyjnych oraz informowania o SIR wraz z promocją - 50 spotkań (bez ponoszenia kosztów); 1 warsztat w ramach Operacji 3 pn.: "Rolnictwo precyzyjne drogą do zwiększenia innowacyjności rolnictwa"; 1 szkolenie w formie wyjazdu studyjnego w ramach Operacji 2 pn.: "Innowacyjne formy współdziałania producentów rolnych"</t>
    </r>
  </si>
  <si>
    <r>
      <rPr>
        <b/>
        <sz val="10"/>
        <color indexed="8"/>
        <rFont val="Calibri"/>
        <family val="2"/>
        <charset val="238"/>
      </rPr>
      <t>ROK 2016</t>
    </r>
    <r>
      <rPr>
        <sz val="10"/>
        <color indexed="8"/>
        <rFont val="Calibri"/>
        <family val="2"/>
        <charset val="238"/>
      </rPr>
      <t xml:space="preserve"> łączna liczba uczestników szkoleń/warsztatów w ramach czterech Operacji-388 osób, w tym: 6 szkoleń w ramach Operacji 1 pn.:"Konferencja i spotkania informacyjno-szkoleniowe pt.:Sieć na rzecz innowacji w rolnictwie i na obszarach wiejskich dla województwa opolskiego"-240 osób, 11 warsztatów w ramach Operacji 2 pn.:"Organizacja zadania pt.:W przyjaźni z naturą, obejmującego konferencję, konkursy i warsztaty, promującego innowacyjne rozwiązania w gospodarstwach rolnych"-88 osób, 1 warsztat w ramach Operacji 3 pn.:"Zrozumieć innowacje w rolnictwie i na obszarach wiejskich – ponadregionalna wymiana doświadczeń w zakresie funkcjonowania SIR na przykładzie działań tworzenia sieci kontaktów i wdrażania innowacji na obszarach wiejskich"-25 osób, 1 warsztat w ramach Operacji 4 pn.:"Szkolenie w formie warsztatów pt.:Przedsiębiorczość na obszarach wiejskich – innowacyjność organizacyjna i marketingowa”-35 osób </t>
    </r>
    <r>
      <rPr>
        <b/>
        <sz val="10"/>
        <color indexed="8"/>
        <rFont val="Calibri"/>
        <family val="2"/>
        <charset val="238"/>
      </rPr>
      <t>ROK 2017</t>
    </r>
    <r>
      <rPr>
        <sz val="10"/>
        <color indexed="8"/>
        <rFont val="Calibri"/>
        <family val="2"/>
        <charset val="238"/>
      </rPr>
      <t xml:space="preserve"> liczba uczestników spotkań informacyjno-szkoleniowych związanych z działaniem Współpraca i tworzeniem grup operacyjnych oraz informowania o SIR wraz z promocją (bez ponoszenia kosztów) - 1308 osób; liczba uczestników warsztatów pn.: "Rolnictwo precyzyjne drogą do zwiększenia innowacyjności rolnictwa" w ramach Operacji 3 - 30 osób; liczba uczestników wyjazdu studyjnego pn.: "Innowacyjne formy współdziałania producentów rolnych" w ramach Operacji 2 - 30 osób;</t>
    </r>
  </si>
  <si>
    <t>funkcjonowanie SIR w okresach: 01.01-31.12.2016 r. oraz 01.01.-30.06.2017 r., w tym: koszty delegacji, szkolenia pracowników, wynagrodzenia pracowników, wyposarzenie biura, art.. Biurowe i inne koszty rodzajowe w ramach wydatków bieżących</t>
  </si>
  <si>
    <t>PODKARPACKI OŚRODEK DORADZTWA ROLNICZEGO</t>
  </si>
  <si>
    <r>
      <t>Komentarze</t>
    </r>
    <r>
      <rPr>
        <sz val="12"/>
        <color indexed="8"/>
        <rFont val="Calibri"/>
        <family val="2"/>
      </rPr>
      <t xml:space="preserve"> 
(proszę wskazać co jest rozumiane przez kategorię "inne")</t>
    </r>
  </si>
  <si>
    <r>
      <t xml:space="preserve">
Rok 2016 
1 . konferencje- 5
2..udział w targach i innych imprezach promocyjnych- 6 -2016 
3.spotkania informacyjne dot. tematyki ,, Odnawialne Źródła Energii jako alternatywne rozwiązania stosowane w rolnictwie, leśnictwie i przetwórstwie '' - 21  
 </t>
    </r>
    <r>
      <rPr>
        <b/>
        <sz val="10"/>
        <rFont val="Calibri"/>
        <family val="2"/>
        <charset val="238"/>
      </rPr>
      <t>Rok 2017 ( 01-06)</t>
    </r>
    <r>
      <rPr>
        <sz val="10"/>
        <rFont val="Calibri"/>
        <family val="2"/>
        <charset val="238"/>
      </rPr>
      <t xml:space="preserve">
 1.  spotkanie informacyjne partnerów KSOW  dot. realizacji operacji w ramach Planu operacyjnego KSOW 2016-2017   - 1  
 2. udział w dwudniowych targachDni Otwartych Drzwi Podkarpackiego Ośrodek Doradztwa Rolniczego w Boguchwale oraz XIX Regionalnej Wystawy    Zwierząt Hodowlanych - Boguchwała 2017,-( w ktorych uczestniczylo ok. 30 000 osób) -   1 
3.konferencja dot.  Profilaktyka zdrowia podczas którego przedstawiona została tematyka związana z działalnoscią SIR i działaniem ,, Współpraca''  - 1 
4.szkolenie dot. płatności obszarowych podczas którego przedstawiona została tematyka związana z działalnoscią SIR: zasady funkcjonowania, cele, roli PODR (w zakresie SIR) - 1 5.konferencja dot. rolniczego handlu detalicznego  podczas której przedstawiona została tematyka związana z działalnoscią SIR: zasady funkcjonowania, cele, roli PODR (w zakresie SIR oraz działania ,,Współpraca'' - 1 
6. konferencja dot. profilaktyki prozdrowotnej   podczas której przedstawiona została tematyka związana z działalnoscią SIR: zasady funkcjonowania, cele, roli PODR (w zakresie SIR oraz działania ,,Współpraca'' w ramach PROW 2014-2020 - 1 
7. konferencja ,, Innowacyjne metody w chowie bydła mlecznego i mięsnego zmierzające do produkcji wysokiej jakości markowego mleka i mięsa,, - 1 
(07-12)
8.  spotkanie informacyjno-promocyjne- Funkcjonowanie SIR oraz zasady przyznawania pomocy w ramach dzialania ,,Współpraca'' - 3 
9.spotkanie dot. działania współpraca - Zasady przyznawania pomocy w ramach działania ,,Współpraca" -5 
10. konferencja ,, Nowe rozwiazania z zakrsu OZE w gospodarstwie rolnym'' - 1
11. konferencja ,, Ekologiczna produkcja owoców miekkich'' -1 
12. konferencja ,, Ochrona wód w gospodarstwach rolnych ''- 1 
13. konferencja ,, Innowacyjność agroturystyki i turystyki wiejskiej'' - 1 
14. konferencja ,, Innowacyjne metody chowu i hodowli królików’’ - 1 
Uczestnikami wszystkich wydarzeń byli rolnicy, leśnicy ,  przedsiębiorcy, doradcy , przedstawiciele instytucji rolniczych i okłorolniczych. 
</t>
    </r>
  </si>
  <si>
    <r>
      <t xml:space="preserve">
</t>
    </r>
    <r>
      <rPr>
        <b/>
        <sz val="10"/>
        <rFont val="Calibri"/>
        <family val="2"/>
        <charset val="238"/>
      </rPr>
      <t xml:space="preserve">Rok 2016 </t>
    </r>
    <r>
      <rPr>
        <sz val="10"/>
        <rFont val="Calibri"/>
        <family val="2"/>
        <charset val="238"/>
      </rPr>
      <t xml:space="preserve">
- spotkania informacyjne dot. tematyki ,, Odnawialne Źródła Energii jako alternatywne rozwiązania stosowane w rolnictwie, leśnictwie i przetwórstwie '' 1 szt  - 315 osób  - 2016
</t>
    </r>
    <r>
      <rPr>
        <b/>
        <sz val="10"/>
        <rFont val="Calibri"/>
        <family val="2"/>
        <charset val="238"/>
      </rPr>
      <t xml:space="preserve">
ROK 2017</t>
    </r>
    <r>
      <rPr>
        <sz val="10"/>
        <rFont val="Calibri"/>
        <family val="2"/>
        <charset val="238"/>
      </rPr>
      <t xml:space="preserve">
 1.spotkanie informacyjne partnerów KSOW  dot. realizacji operacji w ramach Planu operacyjnego KSOW 2016-2017   - 19 uczestników
  2.udział w dwudniowych targachDni Otwartych Drzwi Podkarpackiego Ośrodek Doradztwa Rolniczego w Boguchwale oraz XIX Regionalnej Wystawy    Zwierząt Hodowlanych - Boguchwała ( w ktorych uczestniczylo ok. 30 000 osób) 
3.konferencja dot.  Profilaktyka zdrowia podczas którego przedstawiona została tematyka związana z działalnoscią SIR i działaniem ,, Współpraca''  - 72 uczestników 
4.szkolenie dot. płatności obszarowych podczas którego przedstawiona została tematyka związana z działalnoscią SIR: zasady funkcjonowania, cele, roli PODR (w zakresie SIR) - 117uczestników
 5.  konferencja dot. rolniczego handlu detalicznego  podczas której przedstawiona została tematyka związana z działalnoscią SIR: zasady funkcjonowania, cele, roli PODR (w zakresie SIR oraz działania ,,Współpraca'' - 74 uczestników 
6. konferencja dot. profilaktyki prozdrowotnej   podczas której przedstawiona została tematyka związana z działalnoscią SIR: zasady funkcjonowania, cele, roli PODR (w zakresie SIR oraz działania ,,Współpraca'' w ramach PROW 2014-2020 -  60 uczestników 
7. konferencja ,, Innowacyjne metody w chowie bydła mlecznego i mięsnego zmierzające do produkcji wysokiej jakości markowego mleka i mięsa,, - 80 uczestników   
8.  spotkanie informacyjno-promocyjne- Funkcjonowanie SIR oraz zasady przyznawania pomocy w ramach dzialania ,,Współpraca'' - 50 uczestników
9.spotkanie dot. działania współpraca - Zasady przyznawania pomocy w ramach działania ,,Współpraca"  113 uczestników
10. konferencja ,, Nowe rozwiazania z zakrsu OZE w gospodarstwie rolnym'' - 54 uczestników
11. konferencja ,, Ekologiczna produkcja owoców miekkich'' -61 uczestników
12. konferencja ,, Ochrona wód w gospodarstwach rolnych ''- 25 uczestników
13. konferencja ,, Innowacyjność agroturystyki i turystyki wiejskiej'' -44 uczestników
14. konferencja ,, Innowacyjne metody chowu i hodowli królików’’ - 80 uczestników 
</t>
    </r>
  </si>
  <si>
    <t>dane zostały podane na podstawie statystyk panelu strony w systemie CMS</t>
  </si>
  <si>
    <t>2017 
1. artykuły na facebooku 4 artykuły</t>
  </si>
  <si>
    <t xml:space="preserve">
1.opracowano ulotki informacyjną dot. funkcjonowania SIR i rozpropagowano w ilosci - 3 szt nakład 400 szt. - 2016
2. Opracownie ulotki informacyjnej 1 szt - 50 szt - 2016
3. opracowanie uotki informacyjnej dot działania ,, Współpraca''  - 1 szt - naklad 200 szt - 2017
4. .opracowano ulotki informacyjną dot. funkcjonowania SIR i rozpropagowano w ilosci -1 szt nakład 200 szt
</t>
  </si>
  <si>
    <r>
      <t>Komentarze</t>
    </r>
    <r>
      <rPr>
        <sz val="11"/>
        <color indexed="8"/>
        <rFont val="Calibri"/>
        <family val="2"/>
      </rPr>
      <t xml:space="preserve"> 
(proszę wskazać co jest rozumiane przez kategorię "inne")</t>
    </r>
  </si>
  <si>
    <r>
      <t xml:space="preserve">
</t>
    </r>
    <r>
      <rPr>
        <b/>
        <sz val="10"/>
        <rFont val="Calibri"/>
        <family val="2"/>
        <charset val="238"/>
        <scheme val="minor"/>
      </rPr>
      <t>2016</t>
    </r>
    <r>
      <rPr>
        <sz val="10"/>
        <rFont val="Calibri"/>
        <family val="2"/>
        <charset val="238"/>
        <scheme val="minor"/>
      </rPr>
      <t xml:space="preserve">
1. konsultacje z Prorektorem  ds.. Rozwoju i Polityki Finansowej dot. wdrażania działania ,,Współpraca'' - 1 - 2016
2. konsultacje z pracownikiem naukowym Uniwersytetu Rzeszowskigo  dot. wdrażania działania  ,,Współpracy'' . Przedmiotem rozmów było urocomienie produkcji  nowej generacji ulepszaczy glebowych na bazie grupy operacyjnej  składajacej sie z producentow rolnych, przedsiebiorców i strony naukowej  i doradczej.-1 - 2016
3.konsultacje z przedstawicielem  Małopolskiego Centrum  biotechniki sp. zo.o w Krasnem  dotyczące aplikacji w ramach działania ,, Współprca ''.  Tematem spotkania było wdrożenie  krzyżówki  bydła mięsnego na terenie Podkarpacia  o wysokich parametrach mięsnych i mlecznych . - 1 - 2016 
</t>
    </r>
    <r>
      <rPr>
        <b/>
        <sz val="10"/>
        <rFont val="Calibri"/>
        <family val="2"/>
        <charset val="238"/>
        <scheme val="minor"/>
      </rPr>
      <t xml:space="preserve">01-06. 2017  </t>
    </r>
    <r>
      <rPr>
        <sz val="10"/>
        <rFont val="Calibri"/>
        <family val="2"/>
        <charset val="238"/>
        <scheme val="minor"/>
      </rPr>
      <t xml:space="preserve">
1. konsultacje z partnerami KSOW ws. tworzenia grup operacyjnych - 1 szt - 6 uczestników - 2017 
2. konsultacje z potencjalnymi członkami grupy operacyjnej - 1 szt - 5 uczestników 
3. robocze spotkanie potencjalnej grupy operacyjnej dot. innowacyjnego chowu królików, omowienie zasad przyznawania pomocy działania ,,wspólpraca '' w ramach PROW 2014-2020 - 1  - 8 uczestników 
4. robocze spotkanie potencjalnych członków grupy operacyjnej omówienie zasad przyznawania pomocy działania ,,Wspólpraca '' w ramach PROW 2014-2020 - 1 - 3 uczestników 
</t>
    </r>
    <r>
      <rPr>
        <b/>
        <sz val="10"/>
        <rFont val="Calibri"/>
        <family val="2"/>
        <charset val="238"/>
        <scheme val="minor"/>
      </rPr>
      <t>07-12.2017</t>
    </r>
    <r>
      <rPr>
        <sz val="10"/>
        <rFont val="Calibri"/>
        <family val="2"/>
        <charset val="238"/>
        <scheme val="minor"/>
      </rPr>
      <t xml:space="preserve">
5. robocze spotkania z potencjalnymi członkami grup operacyjnych - 10 -30 uczestników
</t>
    </r>
  </si>
  <si>
    <r>
      <rPr>
        <b/>
        <sz val="10"/>
        <color theme="1"/>
        <rFont val="Calibri"/>
        <family val="2"/>
        <charset val="238"/>
        <scheme val="minor"/>
      </rPr>
      <t>2016</t>
    </r>
    <r>
      <rPr>
        <sz val="10"/>
        <color theme="1"/>
        <rFont val="Calibri"/>
        <family val="2"/>
        <charset val="238"/>
        <scheme val="minor"/>
      </rPr>
      <t xml:space="preserve">
1.. Liczba spotkań aktywizujących potencjalnych partnerów   - 6
</t>
    </r>
    <r>
      <rPr>
        <b/>
        <sz val="10"/>
        <color theme="1"/>
        <rFont val="Calibri"/>
        <family val="2"/>
        <charset val="238"/>
        <scheme val="minor"/>
      </rPr>
      <t xml:space="preserve">01-06. 2017  </t>
    </r>
    <r>
      <rPr>
        <sz val="10"/>
        <color theme="1"/>
        <rFont val="Calibri"/>
        <family val="2"/>
        <charset val="238"/>
        <scheme val="minor"/>
      </rPr>
      <t xml:space="preserve">
- spotkania informacyjne  w celu tworzenia grupy operacyjnej , której potencjalnymi członkami mają zostać :
1.  Małopolskie Centrum  Biotechniki sp. zo.o w Krasnem -  zainteresowane  aplikacąi w ramach działania ,, Współprca ''.  Tematem spotkania było wdrożenie  krzyżówki  bydła mięsnego na terenie Podkarpacia  o wysokich parametrach mięsnych i mlecznych ora aspekty ekonomiczne tego rozwiązania   -    2
2. Zaklad Doświadczalny Instytutu Zootechniki PIB z Odrzechowej - zainteresowane  aplikacąi w ramach działania ,, Współprca ''. - temat -  Wpływ nawożenia pofermentem z biogazowni  na wzrost kukurydzy  i uzytków zielonych  stosując go bezpośrednio  poprzez rozlewania za pomoca nawożenia kropelkowego    - 1 
3.rolnik indywidualny - pszczelarz zainteresowany  aplikacą w ramach działania ,, Współprca ''.-Temat - Wprowadzenie nowego produktu na rynek w postaci miodu skrzypowego - 1 
4. Sotkanie z przedstawicielami potencjalnych członków grupy operacyjnej (w zakresie hodowli królików) przy współudziale Urzędu Wojewódzkiego  zainteresowanych aplikacą w ramach działania ,, Współprca ''.  Uczestnikami spotkania byli:  przedstawiciele Zakładu Doświadczalnego Instytutu Zootechniki PIB Chorzelów Sp. z o, przedstawiciel Urzędu Wojewódzkiego , przedstawiciel Urzędu Marszałkowskiego, przedstawiciel CDR Kraków, przedstawiciel ARiMR, przedstawiciel PODR Boguchwała    - 1 
5.spotkanie informacyjne z potencjalnymi członkami grupy operacyjnej zainteresowanych  aplikacją dzialania ,,Współpraca'' związane z  tworzeniem  grupy operacyjnej dot. zastosowania preparatow doglebowych  w celu powyzszenia plonowania kukurydzy  - 2 
</t>
    </r>
  </si>
  <si>
    <r>
      <t xml:space="preserve">
</t>
    </r>
    <r>
      <rPr>
        <b/>
        <sz val="10"/>
        <color indexed="8"/>
        <rFont val="Calibri"/>
        <family val="2"/>
        <charset val="238"/>
      </rPr>
      <t>2016</t>
    </r>
    <r>
      <rPr>
        <sz val="10"/>
        <color indexed="8"/>
        <rFont val="Calibri"/>
        <family val="2"/>
        <charset val="238"/>
      </rPr>
      <t xml:space="preserve">
 1. Liczba spotkań aktywizujących potencjalnych partnerów     - 8 osób
 2. konsultacje z pracownikiem naukowym Uniwersytetu Rzeszowskigo  dot. wdrażania działania  ,,Współpracy'' . Przedmiotem rozmów było uruchomienie produkcji  nowej generacji ulepszaczy glebowych na bazie grupy operacyjnej  składajacej sie z producentow rolnych, przedsiebiorców i strony naukowej  i doradczej - 3
 3. konsultacje z przedstawicielem  Małopolskiego Centrum  Biotechniki sp. zo.o w Krasnem  dotyczące aplikacji w ramach działania ,, Współprca ''.  Tematem spotkania było wdrożenie  krzyżówki  bydła mięsnego na terenie Podkarpacia  o wysokich parametrach mięsnych i mlecznych . -  2
</t>
    </r>
    <r>
      <rPr>
        <b/>
        <sz val="10"/>
        <color indexed="8"/>
        <rFont val="Calibri"/>
        <family val="2"/>
        <charset val="238"/>
      </rPr>
      <t xml:space="preserve">01-06. 2017  </t>
    </r>
    <r>
      <rPr>
        <sz val="10"/>
        <color indexed="8"/>
        <rFont val="Calibri"/>
        <family val="2"/>
        <charset val="238"/>
      </rPr>
      <t xml:space="preserve">
-  spotkania informacyjne  w celu tworzenia grupy operacyjnej , której potencjalnymi członkami mają zostać :
1.  Małopolskie Centrum  Biotechniki sp. zo.o w Krasnem -  zainteresowane  aplikacąi w ramach działania ,, Współprca ''.  Tematem spotkania było wdrożenie  krzyżówki  bydła mięsnego na terenie Podkarpacia  o wysokich parametrach mięsnych i mlecznych ora aspekty ekonomiczne tego rozwiązania   -   11 osób 
2. Zaklad Doświadczalny Instytutu Zootechniki PIB z Odrzechowej - zainteresowane  aplikacąi w ramach działania ,, Współprca ''. - temat -  Wpływ nawożenia pofermentem z biogazowni  na wzrost kukurydzy  i uzytków zielonych  stosując go bezpośrednio  poprzez rozlewania za pomoca nawożenia kropelkowego  - 9 osób 
3.rolnik indywidualny - pszczelarz zainteresowany  aplikacą w ramach działania ,, Współprca ''.-Temat - Wprowadzenie nowego produktu na rynek w postaci miodu skrzypowego - 3 osoby 
4. Sotkanie z przedstawicielami potencjalnych członków grupy operacyjnej (w zakresie hodowli królików) przy współudziale Urzędu Wojewódzkiego  zainteresowanych aplikacą w ramach działania ,, Współprca ''.  Uczestnikami spotkania byli:  przedstawiciele Zakładu Doświadczalnego Instytutu Zootechniki PIB Chorzelów Sp. z o, przedstawiciel Urzędu Wojewódzkiego , przedstawiciel Urzędu Marszałkowskiego, przedstawiciel CDR Kraków, przedstawiciel ARiMR, przedstawiciel PODR Boguchwała  - 8 osób 
5.spotkanie informacyjne z potencjalnymi członkami grupy operacyjnej zainteresowanych  aplikacją dzialania ,,Współpraca'' związane z  tworzeniem  grupy operacyjnej dot. zastosowania preparatow doglebowych  w celu powyzszenia plonowania kukurydzy - 6 osób</t>
    </r>
  </si>
  <si>
    <r>
      <rPr>
        <b/>
        <sz val="10"/>
        <rFont val="Calibri"/>
        <family val="2"/>
        <charset val="238"/>
        <scheme val="minor"/>
      </rPr>
      <t xml:space="preserve">Rok 2016 </t>
    </r>
    <r>
      <rPr>
        <sz val="10"/>
        <rFont val="Calibri"/>
        <family val="2"/>
        <charset val="238"/>
        <scheme val="minor"/>
      </rPr>
      <t xml:space="preserve">
 - spotkanie informacyjno-aktywizujące dla potencjalnych uczestników SIR. Informowanie o źródłach finansowania innowacji w rolnictwie na obszarach wiejskich w perspektywie finansowej 2014-2020 -  7 -  7 dni
  - spotkanie dotyczące działania współpraca organizowane przez pracowników ds. SIR  - 5 -  5 dni 
- spotkania z przedstawicielami instytucji rolniczych i okołorolniczych  -12 -  12 dni
- uczestnictwo w konferencjach branzowych organizowanych przez PODR  na których została poruszana tematyka SIR  w 2015 roku - 2 - 2 dni
- wyjazd studyjny krajowy dla 100 osób -2  - 4 dni
- wyjazd studyjny dla 35 osób - 1  - 6 dni - spotkania informacyjne dot. tematyki ,, Odnawialne Źródła Energii jako alternatywne rozwiązania stosowane w rolnictwie, leśnictwie i przetwórstwie '' - 21 - 21 dni 
- spotkania organozowane przez CDR - dla 2 osób
</t>
    </r>
    <r>
      <rPr>
        <b/>
        <sz val="10"/>
        <rFont val="Calibri"/>
        <family val="2"/>
        <charset val="238"/>
        <scheme val="minor"/>
      </rPr>
      <t>Rok</t>
    </r>
    <r>
      <rPr>
        <sz val="10"/>
        <rFont val="Calibri"/>
        <family val="2"/>
        <charset val="238"/>
        <scheme val="minor"/>
      </rPr>
      <t xml:space="preserve"> </t>
    </r>
    <r>
      <rPr>
        <b/>
        <sz val="10"/>
        <rFont val="Calibri"/>
        <family val="2"/>
        <charset val="238"/>
        <scheme val="minor"/>
      </rPr>
      <t>2017  (01-06.)</t>
    </r>
    <r>
      <rPr>
        <sz val="10"/>
        <rFont val="Calibri"/>
        <family val="2"/>
        <charset val="238"/>
        <scheme val="minor"/>
      </rPr>
      <t xml:space="preserve">
- spotkanie informacyjne w sprawie utworzenia potencjalnej  Grupy opeacyjnej na potrzeby działania ,,Współpraca''- 6- 6 dni 
- robocze spotkanie z potencjalnymi czlonkami grupy operacyjnej dot aplikowania o środki finansowe z działania ,, Współpraca '' w ramach PROW 2014-2020 - 1 - 1 dzień 
- Szkolenie dot. naboru projektów partnerów KSOW w 2017 i zmian planu operacyjnego 2016-2017 - 1   -  2 uczestników
- uczestnictwo w spotkaniu  informacyjno-szkoleniowe dla pracowników wojewódzkich Ośrodków Doradztwa Rolniczego pełniących  rolę brokerów innowacji  -1 (  2 - 3 dni )   -4 uczestników 
- spotkanie informacyjno-szkoleniowe  pt. ,, Gospodarstwa opiekuńcze - budowanie sieci współpracy ''  - 3  - 65 uczestników 
</t>
    </r>
    <r>
      <rPr>
        <b/>
        <sz val="10"/>
        <rFont val="Calibri"/>
        <family val="2"/>
        <charset val="238"/>
        <scheme val="minor"/>
      </rPr>
      <t>Rok 2017  (07-12.)</t>
    </r>
    <r>
      <rPr>
        <sz val="10"/>
        <rFont val="Calibri"/>
        <family val="2"/>
        <charset val="238"/>
        <scheme val="minor"/>
      </rPr>
      <t xml:space="preserve">
 - spotkanie informacyjno-szkoleniowe dla pracowników Wojewódzkich Ośrodków Doradztwa Rolniczego realizujących zadania na rzecz SIR - 1 (2 dni) 
- II Forum Wiedzy i Innowacji - 1 (2 dni)
- spotkanie informacyjno-szkoleniowe dla pracowników Wojewódzkich Ośrodków Doradztwa Rolniczego realizujących zadania na rzecz SIR - 1 (2 dni)
- spotkanie dla kadry zaarządczej instytutów badawczych i jednostek doradztwa rolniczego  - 1 (2 dni)
- wyjazd studyjny zaganiczny - do Austrii  dla 35 osób - 1 ( 3 dni)
- wyjazd zagraniczny do Czech  dla 40 osób - 1  ( 3 dni)
</t>
    </r>
  </si>
  <si>
    <r>
      <rPr>
        <b/>
        <sz val="10"/>
        <rFont val="Calibri"/>
        <family val="2"/>
        <charset val="238"/>
        <scheme val="minor"/>
      </rPr>
      <t xml:space="preserve">
Rok 2016</t>
    </r>
    <r>
      <rPr>
        <sz val="10"/>
        <rFont val="Calibri"/>
        <family val="2"/>
        <charset val="238"/>
        <scheme val="minor"/>
      </rPr>
      <t xml:space="preserve">
 - spotkanie informacyjno-aktywizujące dla potencjalnych uczestników SIR. Informowanie o źródłach finansowania innowacji w rolnictwie na obszarach wiejskich w perspektywie finansowej 2014-2020. Uczestnikami spotkań informacyjnych są mieszkancy terenów wiejskich, rolnicy, leśnicy, przedsiebiorcy, przedstaiciele instytucji rolniczych i okołorolniczych 157 osób
- spotkania dotyczące działania ,,Współpraca''  -  197 osób
- . spotkania z przedstawicielami instytucji rolniczych i okołorolniczych  - 72
- uczestnictwo w konferencjach na których została poruszana tematyka SIR - 180
Rok </t>
    </r>
    <r>
      <rPr>
        <b/>
        <sz val="10"/>
        <rFont val="Calibri"/>
        <family val="2"/>
        <charset val="238"/>
        <scheme val="minor"/>
      </rPr>
      <t>2017  (01-06)</t>
    </r>
    <r>
      <rPr>
        <sz val="10"/>
        <rFont val="Calibri"/>
        <family val="2"/>
        <charset val="238"/>
        <scheme val="minor"/>
      </rPr>
      <t xml:space="preserve">
- spotkanie informacyjne w sprawie utworzenia potencjalnej  Grupy opeacyjnej na potrzeby działania ,,Współpraca''-76
- robocze spotkanie z potencjalnymi czlonkami grupy operacyjnej dot aplikowania o środki finansowe z działania ,, Współpraca '' w ramach PROW 2014-2020 - 6 uczestników 
- Szkolenie dot. naboru projektów partnerów KSOW w 2017 i zmian planu operacyjnego 2016-2017 -  2 uczestników
- uczestnictwo w spotkaniu  informacyjno-szkoleniowe dla pracowników wojewódzkich Ośrodków Doradztwa Rolniczego pełniących  rolę brokerów innowacji  -   -6 uczestników 
- spotkanie informacyjno-szkoleniowe  pt. ,, Gospodarstwa opiekuńcze - budowanie sieci współpracy ''    - 65 uczestników 
2017  (07-12.)
 - spotkanie informacyjno-szkoleniowe dla pracowników Wojewódzkich Ośrodków Doradztwa Rolniczego realizujących zadania na rzecz SIR - 1 (2 dni) 2 uczestników 
- II Forum Wiedzy i Innowacji - 1 (2 dni) - 4 uczestników
- spotkanie informacyjno-szkoleniowe dla pracowników Wojewódzkich Ośrodków Doradztwa Rolniczego realizujących zadania na rzecz SIR - 1 (2 dni) - 3 uczestników
- spotkanie dla kadry zaarządczej instytutów badawczych i jednostek doradztwa rolniczego  - 1 (2 dni) - 2 uczestników
- wyjazd studyjny zaganiczny - do Austrii  dla 35 osób - 1 ( 3 dni)
- wyjazd zagraniczny do Czech  dla 40 osób - 1  ( 3 dni)
</t>
    </r>
  </si>
  <si>
    <t>Rok 2016: koszty funkcjonowania obejmują:
- wynagrodzenia + pochodne,
- delegacje,
- noclegi,
- materiały biurowe
Rok  2017: koszty funkcjonowania obejmują:
- wynagrodzenia + pochodne,
- delegacje,
- noclegi,</t>
  </si>
  <si>
    <t>[Jednostka] Podlaski Ośrodek Doradztwa Rolniczego w Szepietowie</t>
  </si>
  <si>
    <r>
      <rPr>
        <b/>
        <sz val="10"/>
        <color indexed="8"/>
        <rFont val="Calibri"/>
        <family val="2"/>
        <charset val="238"/>
      </rPr>
      <t>Zorganizowano: w terminie 05-08.2016:</t>
    </r>
    <r>
      <rPr>
        <sz val="10"/>
        <color indexed="8"/>
        <rFont val="Calibri"/>
        <family val="2"/>
        <charset val="238"/>
      </rPr>
      <t xml:space="preserve">
"Pokaz innowacyjnych metod zwalczania omacnicy prosowianki w kukurydzy i zapoznanie się z zaleceniami ochrony roślin w wersji internetowej - 60 osób,
</t>
    </r>
    <r>
      <rPr>
        <b/>
        <sz val="10"/>
        <color indexed="8"/>
        <rFont val="Calibri"/>
        <family val="2"/>
        <charset val="238"/>
      </rPr>
      <t>w terminie 09-12.2016</t>
    </r>
    <r>
      <rPr>
        <sz val="10"/>
        <color indexed="8"/>
        <rFont val="Calibri"/>
        <family val="2"/>
        <charset val="238"/>
      </rPr>
      <t xml:space="preserve">
"Seminarium wyjazdowe - Innowacyjne formy współdziałania producentów rolnych" - 43 uczestników,
Konferencja " Innowacyjne rozwiązania w przygotowaniu, przetwarzaniu i przechowywaniu zdrowej żywności -25 osób,
Konferencja "Nowe techniologie w uprawie roli i zastosowanie rolnictwa precyzyjnego w kontekście zmian klimatycznych" - 90 osób,
"Seminarium wyjazdowe dla pszczelarzy woj. podlaskiego" - 30 osób
</t>
    </r>
  </si>
  <si>
    <t xml:space="preserve">1 pokaz </t>
  </si>
  <si>
    <t>60 osób</t>
  </si>
  <si>
    <t>90+43</t>
  </si>
  <si>
    <t>PODR w szepietowie prowadzi zakładkę SIR gdzie od 01.01.2016-31.12.2016 zakładkę odwiedziło 4251 osób.</t>
  </si>
  <si>
    <t xml:space="preserve">Facebook
PODR w Szepietowie  zamieśćił od 05-08.2016 roku zamieścił 6 postów  gdzie liczba odbiorców wyniosła 11181 osób, polubiło to 36 osób, udostępniło 2 osoby.
W okresie 09-12.2016 ukazało się 8 postów, liczba odbiorców 17857 osób, polubiło to 87 osób, udostępniło to 8 osób
</t>
  </si>
  <si>
    <t>Wydano następujące publikacje, ulotki, broszury w terminie 09-12.2016.
"Przedsiębiorczość na obszarach wiejskich woj. podlaskiego - przykłady innowacyjnych przedsięwzięć"
Materały szkoleniowe z wyjazdu studyjnego "Organizacja seminarium wyjazdowego dla pszczelarzy województwa podlaskiego"
"Konsolidacja osób i podmiotów zainteresowanych wdrazaniem innowacyjnych technologii w dzielninie przechowalnictwa rolno-spożywczeg
"Innowacyjne rozwiązania w przygotowywaniu, przetwarzaniu i przechowywaniu żywności"
"Innowacyjne podejście w urynkowieniu żywności wysokiej jakości"</t>
  </si>
  <si>
    <r>
      <t>Zorganizowano następujące formy szkoleniowe:</t>
    </r>
    <r>
      <rPr>
        <u/>
        <sz val="12"/>
        <color theme="1"/>
        <rFont val="Calibri"/>
        <family val="2"/>
        <charset val="238"/>
        <scheme val="minor"/>
      </rPr>
      <t xml:space="preserve"> </t>
    </r>
    <r>
      <rPr>
        <b/>
        <u/>
        <sz val="12"/>
        <color theme="1"/>
        <rFont val="Calibri"/>
        <family val="2"/>
        <charset val="238"/>
        <scheme val="minor"/>
      </rPr>
      <t>w terminie 05-08.2016</t>
    </r>
    <r>
      <rPr>
        <sz val="10"/>
        <color theme="1"/>
        <rFont val="Calibri"/>
        <family val="2"/>
        <scheme val="minor"/>
      </rPr>
      <t xml:space="preserve">
Warsztaty:
</t>
    </r>
    <r>
      <rPr>
        <b/>
        <i/>
        <sz val="10"/>
        <color theme="1"/>
        <rFont val="Calibri"/>
        <family val="2"/>
        <charset val="238"/>
        <scheme val="minor"/>
      </rPr>
      <t xml:space="preserve"> Warsztaty/Szkolenia</t>
    </r>
    <r>
      <rPr>
        <sz val="10"/>
        <color theme="1"/>
        <rFont val="Calibri"/>
        <family val="2"/>
        <scheme val="minor"/>
      </rPr>
      <t xml:space="preserve"> -Praktyczne wykorzystanie wyników badań naukowych we wdrażaniu innowacji w ekologicznej produkcji - 34 osoby- 2 grupy
</t>
    </r>
    <r>
      <rPr>
        <b/>
        <i/>
        <sz val="10"/>
        <color theme="1"/>
        <rFont val="Calibri"/>
        <family val="2"/>
        <charset val="238"/>
        <scheme val="minor"/>
      </rPr>
      <t xml:space="preserve"> Warsztaty/Szkolenia</t>
    </r>
    <r>
      <rPr>
        <sz val="10"/>
        <color theme="1"/>
        <rFont val="Calibri"/>
        <family val="2"/>
        <scheme val="minor"/>
      </rPr>
      <t xml:space="preserve">- Jak pisać o innowacjach w rolnictwie? Warsztaty dziennikarskie doskonalące umiejętności zdobywania i przekazywania wiedzy nt.  wdrażania innowacji rolniczych w woj. podlaskim - 20 osób- 1 grupa
</t>
    </r>
    <r>
      <rPr>
        <b/>
        <i/>
        <sz val="10"/>
        <color theme="1"/>
        <rFont val="Calibri"/>
        <family val="2"/>
        <charset val="238"/>
        <scheme val="minor"/>
      </rPr>
      <t>Wizyty/ Wyjazd studyjny</t>
    </r>
    <r>
      <rPr>
        <sz val="10"/>
        <color theme="1"/>
        <rFont val="Calibri"/>
        <family val="2"/>
        <scheme val="minor"/>
      </rPr>
      <t xml:space="preserve"> -Wyjazd studyjny - standaryzacja jakości produkcji wołowiny i innowacyjne  formy sprzedaży mięsa wołowego...." - 10 osób - 1 grupa
</t>
    </r>
    <r>
      <rPr>
        <b/>
        <u/>
        <sz val="12"/>
        <color theme="1"/>
        <rFont val="Calibri"/>
        <family val="2"/>
        <charset val="238"/>
        <scheme val="minor"/>
      </rPr>
      <t>W terminie 09-12.2016</t>
    </r>
    <r>
      <rPr>
        <sz val="10"/>
        <color theme="1"/>
        <rFont val="Calibri"/>
        <family val="2"/>
        <scheme val="minor"/>
      </rPr>
      <t xml:space="preserve"> 
</t>
    </r>
    <r>
      <rPr>
        <b/>
        <i/>
        <sz val="10"/>
        <color theme="1"/>
        <rFont val="Calibri"/>
        <family val="2"/>
        <charset val="238"/>
        <scheme val="minor"/>
      </rPr>
      <t xml:space="preserve"> Wizyty/ Wyjazd studyjny</t>
    </r>
    <r>
      <rPr>
        <sz val="10"/>
        <color theme="1"/>
        <rFont val="Calibri"/>
        <family val="2"/>
        <scheme val="minor"/>
      </rPr>
      <t xml:space="preserve"> Wyjazd studyjny - Uprawa lnu i konopi jako alternatywa produkcji na obszarach objętych ASF- wyjazd studyjny dla doradców, rolników i przedsiębiorców"- 25 osób - 1 grupa
 </t>
    </r>
    <r>
      <rPr>
        <b/>
        <i/>
        <sz val="10"/>
        <color theme="1"/>
        <rFont val="Calibri"/>
        <family val="2"/>
        <charset val="238"/>
        <scheme val="minor"/>
      </rPr>
      <t>Wizyty/ Wyjazd studyj</t>
    </r>
    <r>
      <rPr>
        <b/>
        <sz val="10"/>
        <color theme="1"/>
        <rFont val="Calibri"/>
        <family val="2"/>
        <charset val="238"/>
        <scheme val="minor"/>
      </rPr>
      <t xml:space="preserve">ny </t>
    </r>
    <r>
      <rPr>
        <sz val="10"/>
        <color theme="1"/>
        <rFont val="Calibri"/>
        <family val="2"/>
        <scheme val="minor"/>
      </rPr>
      <t xml:space="preserve">Wyjazd studyjny nt"Alternatywne źródła dochodu z gospodarstwa rolnego- innowacyjne hodowla ślimaka jadalnego"- 25 osób - 1 grupa
Szkolenie z wyjazdem do gospodarstwa/przedsiębiorstwa
</t>
    </r>
    <r>
      <rPr>
        <b/>
        <i/>
        <sz val="10"/>
        <color theme="1"/>
        <rFont val="Calibri"/>
        <family val="2"/>
        <charset val="238"/>
        <scheme val="minor"/>
      </rPr>
      <t xml:space="preserve"> Warsztaty/Szkolenia:</t>
    </r>
    <r>
      <rPr>
        <sz val="10"/>
        <color theme="1"/>
        <rFont val="Calibri"/>
        <family val="2"/>
        <scheme val="minor"/>
      </rPr>
      <t xml:space="preserve"> Konsolidacja osób i podmiotów zainteresowanych wdrażaniem innowacyjnych technologii w dziedzinie przechowalnictwa rolno-spożywczego. - 15 sob - 1 grupa
 </t>
    </r>
    <r>
      <rPr>
        <b/>
        <i/>
        <sz val="10"/>
        <color theme="1"/>
        <rFont val="Calibri"/>
        <family val="2"/>
        <charset val="238"/>
        <scheme val="minor"/>
      </rPr>
      <t xml:space="preserve"> Warsztaty/Szkolenia: </t>
    </r>
    <r>
      <rPr>
        <sz val="10"/>
        <color theme="1"/>
        <rFont val="Calibri"/>
        <family val="2"/>
        <scheme val="minor"/>
      </rPr>
      <t xml:space="preserve">Innowacyjne rozwiązania w energetyce odnawialnej w woj. podlaskich - 60 osób - 3 grupy
</t>
    </r>
    <r>
      <rPr>
        <b/>
        <i/>
        <sz val="10"/>
        <color theme="1"/>
        <rFont val="Calibri"/>
        <family val="2"/>
        <charset val="238"/>
        <scheme val="minor"/>
      </rPr>
      <t>Warsztaty/Szkolenia</t>
    </r>
    <r>
      <rPr>
        <sz val="10"/>
        <color theme="1"/>
        <rFont val="Calibri"/>
        <family val="2"/>
        <scheme val="minor"/>
      </rPr>
      <t xml:space="preserve">: szkolenie: Innowcyjne podejscie w urynkowieniu żywności wysokiej jakości- 30 osób-1 grupa
</t>
    </r>
    <r>
      <rPr>
        <b/>
        <i/>
        <sz val="10"/>
        <color theme="1"/>
        <rFont val="Calibri"/>
        <family val="2"/>
        <charset val="238"/>
        <scheme val="minor"/>
      </rPr>
      <t xml:space="preserve">Warsztaty/Szkolenia: </t>
    </r>
    <r>
      <rPr>
        <sz val="10"/>
        <color theme="1"/>
        <rFont val="Calibri"/>
        <family val="2"/>
        <charset val="238"/>
        <scheme val="minor"/>
      </rPr>
      <t xml:space="preserve"> w</t>
    </r>
    <r>
      <rPr>
        <sz val="10"/>
        <color theme="1"/>
        <rFont val="Calibri"/>
        <family val="2"/>
        <scheme val="minor"/>
      </rPr>
      <t xml:space="preserve">arsztaty: Przeprowadzenie cyklu warsztatów tematycznych dot. promowania innowacyjnych metod zapobiegania znoszeniu środków ochrony roślin - 120 osób - 6 grup
</t>
    </r>
  </si>
  <si>
    <t>rolnicy z woj. podlaskiego/mieszkańcy obszarów wiejskich, przedsiębiorcy, producenci żywności</t>
  </si>
  <si>
    <t>Koszty funkcjonowania zawierają: 2 etaty: spec. ds. innowacji i broker</t>
  </si>
  <si>
    <t>Uwaga: Podane dane są narastająco od poczatku roku.</t>
  </si>
  <si>
    <t>Sporzadziła: Aneta Drobek</t>
  </si>
  <si>
    <t>Szepietowo 26.01.2017</t>
  </si>
  <si>
    <t xml:space="preserve"> Pomorski Ośrodek Doradztwa Rolniczego w Lubaniu</t>
  </si>
  <si>
    <r>
      <rPr>
        <b/>
        <sz val="12"/>
        <color indexed="8"/>
        <rFont val="Calibri"/>
        <family val="2"/>
        <charset val="238"/>
      </rPr>
      <t>2015: Dwie konferencje  „Sieć Innowacji w Rolnictwie – Klucz do Nowoczesności” - organizator : PODR w Lubaniu;        
2016:</t>
    </r>
    <r>
      <rPr>
        <sz val="10"/>
        <color indexed="8"/>
        <rFont val="Calibri"/>
        <family val="2"/>
        <charset val="238"/>
      </rPr>
      <t xml:space="preserve">   1. Stoisko promocyjne na III Pomorskiej Wystawie Bydła Mlecznego - Swięto Mleka w Bolesławowie - organizator: Pomorski Związek Hodowców Bydła Mlecznego w Gdańsku wraz z Gdańskim Oddziałem Polskiej Federacji Hodowców Bydła i Producentów Mleka. ; 2. Stoisko promocyjne na Pomorskich Agro Targach w Lubaniu - organizator: PODR w Lubaniu; 3. Stoisko promocyjnena na Żuławskich Targach Rolnych w Starym Polu - organizator: PODR w Lubaniu; 4. Stoisko promocyjne SIR podczas Jesiennych Targów Ogrodniczo-Nasiennych w Starym Polu - organizator:  PODR w Lubaniu; 5. Stoisko promocyjne SIR podczas Kaszubskiej Jesieni Rolniczej oraz Dożynek Diecezji Pelplińskiej w Lubaniu - organizator: PODR w Lubaniu                                                                                                           
</t>
    </r>
    <r>
      <rPr>
        <b/>
        <sz val="12"/>
        <color indexed="8"/>
        <rFont val="Calibri"/>
        <family val="2"/>
        <charset val="238"/>
      </rPr>
      <t>2017:</t>
    </r>
    <r>
      <rPr>
        <sz val="10"/>
        <color indexed="8"/>
        <rFont val="Calibri"/>
        <family val="2"/>
        <charset val="238"/>
      </rPr>
      <t xml:space="preserve">  1. Promocja SIR na targach ogrodniczych w Słupsku.  2.  Promocja SIR na targach ogrodniczych w Lubaniu. 3.  Promocja SIR na turnieju KGW w Luzinie.   4. Promocja SIR na targach rolno-kwiatowych w Słupsku. 5. Promocja SIR na targach rw Lubaniu. 6. Promocja SIR na targach w Starym Polu. (wszystkie wydarzenia finansowane z funkcionowania). 7. Dni Pola w Tuchlinie. 8. Dzień Ziemniaka w Lubaniu. 9. Targi Rolnicze w Starym Polu. 10. Dzień Kukurydzy w Lubaniu. 11. Targi Rolnicze w Lubaniu. 12. Targi Rolnicze w Słupsku.</t>
    </r>
  </si>
  <si>
    <r>
      <rPr>
        <b/>
        <sz val="14"/>
        <color indexed="8"/>
        <rFont val="Calibri"/>
        <family val="2"/>
        <charset val="238"/>
      </rPr>
      <t xml:space="preserve">2016 : </t>
    </r>
    <r>
      <rPr>
        <sz val="10"/>
        <color indexed="8"/>
        <rFont val="Calibri"/>
        <family val="2"/>
        <charset val="238"/>
      </rPr>
      <t xml:space="preserve">   Jak wynika ze statystyk prowadzonych przez PODR w Lubaniu targi i wystawę odwiedziło łącznie około 117 000 osób. Informacje o  SIR uzyskało około 1 000 osób na co wskazują rozdane materiały informacyjne. ;                                                                                                                                                                                              </t>
    </r>
    <r>
      <rPr>
        <b/>
        <sz val="14"/>
        <color indexed="8"/>
        <rFont val="Calibri"/>
        <family val="2"/>
        <charset val="238"/>
      </rPr>
      <t>2017</t>
    </r>
    <r>
      <rPr>
        <sz val="10"/>
        <color indexed="8"/>
        <rFont val="Calibri"/>
        <family val="2"/>
        <charset val="238"/>
      </rPr>
      <t xml:space="preserve">: Informacje o  SIR uzyskało około 9502 osób na co wskazują rozdane materiały informacyjne. ;                                                                                                                           </t>
    </r>
  </si>
  <si>
    <t xml:space="preserve">Zakładka SIR powstała w 2016 roku. Dane podawane są na podstawie wyliczeń z Google Analytics. W 2017 powstała strona : www.agroinnowacje.eu , która jest główną stroną SIR w województwie pomorskim. </t>
  </si>
  <si>
    <t xml:space="preserve">2016: 1. Publikacje internetowe na stronie: http://podr.pl/sir/ (16)  ; 2. ulotka informacyjna SIR finansowana z Planu operacyjnego (nakład: 9 802);                               3. artykuły w czasopiśmie Pomorskie Wieści Rolnicze ( 7 );                                                                                                                                                                                       2017 : Publikacje internetowe na stronie: http://podr.pl/sir/ oraz www.agroinnowacje.eu (33)  ;  2. artykuły w czasopiśmie Pomorskie Wieści Rolnicze ( 6) </t>
  </si>
  <si>
    <t>2017: film promocyjny ,,Innowacyjna Wieś Pomorska"</t>
  </si>
  <si>
    <t xml:space="preserve"> 2016 : 1. Przez Innowacyjność do Sukcesu - organizator: Farmer Sp zo.o. ; 2. Innowacyjne wsparcie gospodarstw rolnych - organizator: Stowarzyszenie Absolwentów Wyższych Szkół Zarządzania „ Nasza Europa” i firma „EKOTEC”; 3. Działanie współpraca jako narzędzie wdrażania innowacji - organizator: Urząd Marszałkowski;  4. Konferencja pt. ,,Innowacyjna Wieś Pomorska - Pomorskie spotkanie z nauką rolniczą" (dwudniowa konferencja z wyjazdem studyjnym) - organizator: PODR (finansowane z planu operacyjnego); 5. Warsztaty: ,,Integracja działań na rzecz pomorza" (4 warsztaty po 20 osób) - organizator PODR (nie ze środków SIR).                                                                                                                                                                                                        
• Liczba zorganizowanych szkoleń i warsztatów:
1. Przez Innowacyjność do Sukcesu - organizator: Farmer Sp zo.o. ; 
2. Innowacyjne wsparcie gospodarstw rolnych - organizator: Stowarzyszenie Absolwentów Wyższych Szkół Zarządzania „ Nasza Europa” i firma „EKOTEC”; 
3. Działanie współpraca jako narzędzie wdrażania innowacji - organizator: Urząd Marszałkowski;  
4. Konferencja pt. ,,Innowacyjna Wieś Pomorska - Pomorskie spotkanie z nauką rolniczą" (dwudniowa konferencja z wyjazdem studyjnym) - organizator: PODR (finansowane z planu operacyjnego); 
5. Warsztaty: ,,Integracja działań na rzecz pomorza" (4 warsztaty po 20 osób) - organizator PODR (nie ze środków SIR).
4 szkolenia z warsztatami  + 4 warsztaty = 8
• Liczba dni szkoleniowych:
1. Przez Innowacyjność do Sukcesu - organizator: Farmer Sp zo.o. ; (1 dzień)
2. Innowacyjne wsparcie gospodarstw rolnych - organizator: Stowarzyszenie Absolwentów Wyższych Szkół Zarządzania 
„ Nasza Europa” i firma „EKOTEC”; (1 dzień)
3. Działanie współpraca jako narzędzie wdrażania innowacji - organizator: Urząd Marszałkowski;  (1 dziań)
4. Konferencja pt. ,,Innowacyjna Wieś Pomorska - Pomorskie spotkanie z nauką rolniczą" (dwudniowa konferencja z wyjazdem studyjnym) - organizator: PODR (finansowane z planu operacyjnego);  (2 dni)
5. Warsztaty: ,,Integracja działań na rzecz pomorza" (4 warsztaty po 20 osób) - organizator PODR (nie ze środków SIR). (4 x 1 dzień)
3 x 1 dzień + 2 dni + 4 x 1 dzień = 9 dni)                                                                                                                                                                                                                                                                            2017:                                                                                                                                                                                                                                                                                                   liczba zorganizowanych szkoleń i warsztatów z liczą dni szkoleniowych:                                                                                                                                                                                                                    1. Problemy we współczesnym rolnictwie oraz możliwości wprowadzenia innowacyjnych metod wspomagania rolnika.         (1 dzień)                                                                    2. Sieć na rzecz innowacji w rolnictwie i na obszarach wiejskich – możliwości jakie daje współpraca w sektorze  pszczelarstwa.           (1 dzień)                                                     3. Funkcjonowanie stowarzyszenia BIO Pomorze oraz możliwości współpracy w ramach PROW 2014-2020.                         (1 dzień)                                                                         4. Możliwości dofinansowania i zasady naboru na projekty do planu operacyjnego KSOW na lata 2018-2019 w zakresie SIR.              (1 dzień)                                                      5. Zasady naboru na projekty do planu operacyjnego ksow na lata 2018-2019 w zakresie SIR.                                                       (1 dzień)                                                                      6.  Warsztaty dot. działania Współpraca.                   (1 dzień)                                                                                                                                                                                                         7. Tworzenie systemu wspomagania decyzji w ochronie roślin na obszarze województwa pomorskiego, z wykorzystaniem innowacyjnych rozwiązań technicznych i organizacyjnych w ramach Planu operacyjnego KSOW na lata 2016-2017 w zakresie SIR.    (2 dni) ( finansowane z Planu Operacyjnego KSOW w zakresie SIR)
8.Tworzenie sieci kontaktów oraz możliwości dofinansowania do innowacyjnych działań w sektorze pszczelarstwa. (1 dzień)                                                                    9. Innowacyjna wieś pomorska      (1 dzień)                                                                                                                                                                                              10.Plan Operacyjny szansą rozwoju innowacyjności w województwie pomorskim (1 dzień)                                                                                                         11.Innowacyjna wieś Pomorska (1 dzień )                                                                                                                                                                                     12. Innowacyjna wieś Pomorska (1 dzień)                                                                                                                                                                                      
13. Innowacyjna wieś pomorska (1 dzień)                                                                                                                                                                                                  14. Plan operacyjny szansą rozwoju innowacyjności w woj. pomorskim (1 dzień)                                                                                                                           15.Forum Trzodziarskie (1 dzień)                                                                                                                                                                                                   16. SIR czyli innowacyjne podejście dla Młodych Rolników szkolenie na Olimpiadzie Młodych Producentów Rolnych (1 dzień)                                                 17. Warsztaty Lubań (1 dzień)                                                                                                                                                                                                        liczba wyjazdów studyjnych:             1. BIOFACH  (3 dni)  2. AGROTECH   (2 dni)                                                                                                                                                         Spotkania dotyczące działania współpraca (56 dni)</t>
  </si>
  <si>
    <r>
      <t xml:space="preserve">2016                                                                                                                                                                                                                                                                                         1. Udział w konferencji z wyjazdem studyjnym organizowanej PODR (w więkrzości uczestniczyli rolnicy z terenu województwa pomorskiego);                   2. W czterech warsztatach uczestniczyło 80 osób                                                                                                                                                                                                                </t>
    </r>
    <r>
      <rPr>
        <b/>
        <sz val="10"/>
        <rFont val="Calibri"/>
        <family val="2"/>
        <charset val="238"/>
      </rPr>
      <t xml:space="preserve">(Liczba osób:
I : 80 + 155 = 235 osób
II : 4 +60 +32+ 139 = 235 osób)   </t>
    </r>
    <r>
      <rPr>
        <b/>
        <sz val="10"/>
        <color rgb="FFFF0000"/>
        <rFont val="Calibri"/>
        <family val="2"/>
        <charset val="238"/>
      </rPr>
      <t xml:space="preserve">                                                                                                                                                                                                                                               </t>
    </r>
    <r>
      <rPr>
        <b/>
        <sz val="14"/>
        <rFont val="Calibri"/>
        <family val="2"/>
        <charset val="238"/>
      </rPr>
      <t>2017:</t>
    </r>
    <r>
      <rPr>
        <b/>
        <sz val="11"/>
        <rFont val="Calibri"/>
        <family val="2"/>
        <charset val="238"/>
      </rPr>
      <t xml:space="preserve">                                                                                                                                                                                                                                                                                                                 </t>
    </r>
    <r>
      <rPr>
        <sz val="11"/>
        <rFont val="Calibri"/>
        <family val="2"/>
        <charset val="238"/>
      </rPr>
      <t xml:space="preserve">liczba uczestników:                                                                                                                                                                                                                                                               </t>
    </r>
    <r>
      <rPr>
        <b/>
        <sz val="14"/>
        <rFont val="Calibri"/>
        <family val="2"/>
        <charset val="238"/>
      </rPr>
      <t xml:space="preserve">finansowane  ze środków na funkcjonowanie:               </t>
    </r>
    <r>
      <rPr>
        <sz val="11"/>
        <rFont val="Calibri"/>
        <family val="2"/>
        <charset val="238"/>
      </rPr>
      <t xml:space="preserve">                                                                                                                                                                                      1. Problemy we współczesnym rolnictwie oraz możliwości wprowadzenia innowacyjnych metod wspomagania rolnika.         ( 6)                                                                    2. Sieć na rzecz innowacji w rolnictwie i na obszarach wiejskich – możliwości jakie daje współpraca w sektorze  pszczelarstwa.           (25)                                                     3. Funkcjonowanie stowarzyszenia BIO Pomorze oraz możliwości współpracy w ramach PROW 2014-2020.                         (20)                                                                         4. Możliwości dofinansowania i zasady naboru na projekty do planu operacyjnego KSOW na lata 2018-2019 w zakresie SIR.              (15)                                                      5. Zasady naboru na projekty do planu operacyjnego ksow na lata 2018-2019 w zakresie SIR.                                                       (25)                                                                      6.  Warsztaty dot. działania Współpraca.                   (13)                                                                                                                                                                                                         7. Spotkania dotyczące działania współpraca (212)                                                                                                                                                                       8. Tworzenie sieci kontaktów oraz możliwości dofinansowania do innowacyjnych działań w sektorze pszczelarstwa. ( 17)                                                                    9. Innowacyjna wieś pomorska      (3)                                                                                                                                                                                              10.Plan Operacyjny szansą rozwoju innowacyjności w województwie pomorskim (3)                                                                                                         11.Innowacyjna wieś Pomorska (6 )                                                                                                                                                                                      12. Innowacyjna wieś Pomorska (3)                                                                                                                                                                                      
13. Innowacyjna wieś pomorska (5)                                                                                                                                                                                                  14. Plan operacyjny szansą rozwoju innowacyjności w woj. pomorskim (5)                                                                                                                           15.Forum Trzodziarskie (150)                                                                                                                                                                                                   16. SIR czyli innowacyjne podejście dla Młodych Rolników szkolenie na Olimpiadzie Młodych Producentów Rolnych (50)                                                 17. Warsztaty Lubań (11)                                                                                                                                                                                       </t>
    </r>
    <r>
      <rPr>
        <b/>
        <sz val="14"/>
        <rFont val="Calibri"/>
        <family val="2"/>
        <charset val="238"/>
      </rPr>
      <t xml:space="preserve">finansowane z planu operacyjnego KSOW w zakresie SIR </t>
    </r>
    <r>
      <rPr>
        <sz val="11"/>
        <rFont val="Calibri"/>
        <family val="2"/>
        <charset val="238"/>
      </rPr>
      <t xml:space="preserve">                                                                                                                                                             8. Tworzenie systemu wspomagania decyzji w ochronie roślin na obszarze województwa pomorskiego, z wykorzystaniem innowacyjnych rozwiązań technicznych i organizacyjnych w ramach Planu operacyjnego KSOW na lata 2016-2017 w zakresie SIR.    (86)
 9. wyjazdy studyjne:             1. BIOFACH  (25)  2. AGROTECH   (50)   </t>
    </r>
  </si>
  <si>
    <r>
      <rPr>
        <b/>
        <sz val="11"/>
        <rFont val="Calibri"/>
        <family val="2"/>
        <charset val="238"/>
        <scheme val="minor"/>
      </rPr>
      <t>2016</t>
    </r>
    <r>
      <rPr>
        <sz val="11"/>
        <rFont val="Calibri"/>
        <family val="2"/>
        <scheme val="minor"/>
      </rPr>
      <t>: koszty funkcjonowania związane są z wynagrodzeniami oraz delegacjami na szkolenia i spotkania z zakresu SIR organizowane przez CDR oraz delegacjami na spotkania odnośnie działania ,,Współpraca" (Różnice wynikają z faktu, iż w załączniku nr. 1 mamy koszty związane tylko z Planem operacyjnym a w załączniku nr. 2 są koszty Planu operacyjnego jak i funkcjonowania. Nie będzie, więc nigdy równych kwot pomiędzy obydwoma załącznikami. 
W załączniku nr. 2 kwoty się łączą i nie ma jasnego rozgraniczenia pomiędzy Plan operacyjny i funkcjonowanie, ponieważ organizowane szkolenia oraz udział w szkoleniach (gdzie kosztem są delegacje) nie są kosztami jedynie Planu operacyjnego a również funkcjonowania.)</t>
    </r>
  </si>
  <si>
    <r>
      <rPr>
        <b/>
        <sz val="14"/>
        <color theme="1"/>
        <rFont val="Calibri"/>
        <family val="2"/>
        <charset val="238"/>
        <scheme val="minor"/>
      </rPr>
      <t xml:space="preserve">2016: </t>
    </r>
    <r>
      <rPr>
        <sz val="14"/>
        <color theme="1"/>
        <rFont val="Calibri"/>
        <family val="2"/>
        <charset val="238"/>
        <scheme val="minor"/>
      </rPr>
      <t xml:space="preserve">tabela </t>
    </r>
    <r>
      <rPr>
        <sz val="12"/>
        <color theme="1"/>
        <rFont val="Calibri"/>
        <family val="2"/>
        <charset val="238"/>
        <scheme val="minor"/>
      </rPr>
      <t>1 = koszty funkcjonowania (1474,38zł), tabela 2 = koszty Planu operacyjnego (843,95 zł) oraz tabela 6 = koszty funkcjonowania (63,52 zł) oraz Planu operacyjnego (51 305,16 zł)</t>
    </r>
    <r>
      <rPr>
        <b/>
        <sz val="14"/>
        <color theme="1"/>
        <rFont val="Calibri"/>
        <family val="2"/>
        <charset val="238"/>
        <scheme val="minor"/>
      </rPr>
      <t xml:space="preserve">     - czyli łączny koszt Planu operacyjnego = 52 149,11 zł                                                                                                                                                                         2017 :</t>
    </r>
    <r>
      <rPr>
        <sz val="11"/>
        <color theme="1"/>
        <rFont val="Calibri"/>
        <family val="2"/>
        <charset val="238"/>
        <scheme val="minor"/>
      </rPr>
      <t xml:space="preserve"> w tabeli 1 i 6 znajdują się działania, które zostały finansowane z funkcjonowania.  Z Planu operacyjnego zostały swinansowane jedynie: konferencja pt. ,,Tworzenie systemu wspomagania decyzji w ochronie roślin na obszarze województwa pomorskiego, z wykorzystaniem innowacyjnych rozwiązań technicznych i organizacyjnych w ramach Planu operacyjnego KSOW na lata 2016-2017 w zakresie SIR."      oraz  wyjazdy studyjne:             1. BIOFACH  i   2. AGROTECH</t>
    </r>
  </si>
  <si>
    <t>Śląski Ośrodek Doradztwa Rolniczego w Częstochowie</t>
  </si>
  <si>
    <r>
      <rPr>
        <b/>
        <sz val="10"/>
        <color indexed="8"/>
        <rFont val="Calibri"/>
        <family val="2"/>
        <charset val="238"/>
      </rPr>
      <t>2015-   inne (1) zakres tematyczny mieszany: XXIV Krajowa Wystawa Rolnicza, na której zostało zorganizowane stoisko Sieci na rzecz innowacji w rolnictwie i na obszarach wiejskich.W Wystawie Rolniczej udział wzięło ok. 400 wystawców tj. producenci maszyn i urządzeń rolniczych, środków ochrony roślin, pasz i nawozów oraz przedstawiciele instytutów branżowych resortu rolnictwa. Osoby zwiedzające i zainteresowane XXIV Krajową Wystawą Rolniczą, to w większości rolnicy, przedsiębiorcy rolni, działacze społeczni, grupy działaczy związanych z terenami wiejskimi województwa śląskiego i nie tylko. Corocznie wystawę odwiedza podczas dwudniowej wystawy-targów około 80 tysięcy osób.  2015rok - Operacja pn. Wystawa „ Instytuty resortu rolnictwa-NAUKA POLSKA”- przykłady  i promocja  Sieci na rzecz innowacji w rolnictwie i na obszarach wiejskich województwa śląskiego- zasięg krajowy- operacja została zrealizowana podczas XXIV Krajowej Wystawy Rolniczej w Częstochowie      2016</t>
    </r>
    <r>
      <rPr>
        <sz val="10"/>
        <color indexed="8"/>
        <rFont val="Calibri"/>
        <family val="2"/>
        <charset val="238"/>
      </rPr>
      <t>- Liczba zrealizowanych operacji w ramach Panu Operacyjnego KSOW 2016-207 w roku 2016( 15 operacji własnych + 1 operacja partnerska</t>
    </r>
    <r>
      <rPr>
        <b/>
        <sz val="10"/>
        <color indexed="8"/>
        <rFont val="Calibri"/>
        <family val="2"/>
        <charset val="238"/>
      </rPr>
      <t>)            2016r. - "Śląska platforma innowacji – stoisko informacyjne SIR na XXV KWR" operacja  została zorganizowana podczas XXV Krajowej Wystawy  Rolniczej w Częstochowie- zasięg krajowy.                                                                                                                                                                                                                                     2017 -  8 operacji z Planu Operacyjnego na lata 2016-2017, 4 stoiska promocyjno - informacyjne</t>
    </r>
  </si>
  <si>
    <r>
      <t xml:space="preserve">2015r. - Operacja pn. Wystawa „ Instytuty resortu rolnictwa-NAUKA POLSKA”- przykłady  i promocja  Sieci na rzecz innowacji w rolnictwie i na obszarach wiejskich województwa śląskiego"- zasięg krajowy- operacja została zrealizowana podczas XXIV Krajowej Wystawy Rolniczej w Częstochowie    Liczba uczestnków w ramach realizacji operacji z Planu Operacyjnego KSOW 2016-2017 w 2016 roku. Liczba 80,000 tysięcy dotyczy osób odwiedzających XXV Krajową Wystawę Rolniczą podczas ktróej była realizowana 1 operacja.                                                                                                                                            </t>
    </r>
    <r>
      <rPr>
        <b/>
        <sz val="10"/>
        <color indexed="8"/>
        <rFont val="Calibri"/>
        <family val="2"/>
        <charset val="238"/>
      </rPr>
      <t xml:space="preserve">                                                                                                                                                                                                                                                                         2016r. - "Śląska platforma innowacji – stoisko informacyjne SIR na XXV KWR" operacja  została zrealizowana podczas XXV Krajowej Wystawy  Rolniczej w Częstochowie - zasięg krajowy .                                                                                                                                                                                                                                                                              2017  DOD w Mikołowie i Lublińcu (liczbę uczestników oszacowano na podstawie relacji doradców z ŚODR i obłożenia miejsc parkingowych), stoisko podczas konferencji w Śląskim Urzędzie Wojewódzkim, stoisko promujące innowacje w ramaqch XXVI Krajowej Wystawy Rolniczej; uczestników wydarzeń w ramach operacji z PO 2016-2017 - 451</t>
    </r>
  </si>
  <si>
    <t>2015- ulotka promująca SIR- nakład 3.000 szt; artykuł w prasie branżowej w Śląskich Aktualnościach Rolniczych- nakład 2600szt.</t>
  </si>
  <si>
    <t>2016 - Artykuły zamieszczane w prasie branżowej w tym w Śląskich Aktualnościach Rolniczych - 12                                                                                                       2017 - Artykuły zamieszczane w prasie branżowej w tym w Śląskich Aktualnościach Rolniczych - 28,  Artykuły/informacje zamieszczane na stronach internetowych oraz portalach społecznościowych (FB), związane z SIR - 30</t>
  </si>
  <si>
    <t xml:space="preserve">2016 - Spotkanie z przedstawicielami szkół rolniczych, spotkanie z przedstawicielami rolniczych związków branżowych, spotkanie z dyrekcją szkoły rolniczej w Nakle Śląskim. Sptkania na Uniwersytecie Przyrodniczym we Wrocławiu i Uniwersytecie Rolniczym w Krakowie. Spotkanie z Grupą Producencką Klimowicz (koszty poniesione w ramach funkcjonowania)                                                                                                                                                      2017 - udzielone konsultacje głównie o działaniu Współpraca </t>
  </si>
  <si>
    <r>
      <rPr>
        <b/>
        <sz val="10"/>
        <color theme="1"/>
        <rFont val="Calibri"/>
        <family val="2"/>
        <charset val="238"/>
        <scheme val="minor"/>
      </rPr>
      <t>2015-  3 szkolenia dla pracowników Śląskiego Ośrodka Doradztwa + 4 szkolenia dla pracowników zajmujących się SIR        2016</t>
    </r>
    <r>
      <rPr>
        <sz val="10"/>
        <color theme="1"/>
        <rFont val="Calibri"/>
        <family val="2"/>
        <scheme val="minor"/>
      </rPr>
      <t xml:space="preserve">- Szkolenia dla doradców w PZDR: Częstochowa, Cieszyn, Lubliniec, Bieruń. Szkolenie nt operacji realizowanych w ramach PO 2016-2017 (2- Częstochowa ŚODR I Złoty Potok) (koszty poniesione w ramach funkcjonowania)                                                                                                                                                      </t>
    </r>
    <r>
      <rPr>
        <b/>
        <sz val="10"/>
        <color theme="1"/>
        <rFont val="Calibri"/>
        <family val="2"/>
        <charset val="238"/>
        <scheme val="minor"/>
      </rPr>
      <t xml:space="preserve">  2017</t>
    </r>
    <r>
      <rPr>
        <sz val="10"/>
        <color theme="1"/>
        <rFont val="Calibri"/>
        <family val="2"/>
        <scheme val="minor"/>
      </rPr>
      <t xml:space="preserve"> - szkolenia dla doradców podczas narad - 3, szkolenia dla uczniów Zespołu Szkól w Żarnowcu - 1 i dla naukowców z Uniwersytetu Rolniczego w Krakowie - 1, Politechniki Częstochowskiej - 1, inne - 4</t>
    </r>
  </si>
  <si>
    <t>Warmińsko-Mazurski Ośrodek Doradztwa Rolniczego z siedzibą w Olsztynie</t>
  </si>
  <si>
    <t>Duża liczba uczestników w 2016 r. jest związana z faktem organizacji stoisk informacyjnych SIR podczas imprez lokalnych i regionalnych. Na stoiskach i innych wydarzeniach były prowadzone listy obecności.
W 2017 r. organizowane było m.in. stoisko informacyjne na Targach AGROShow w Ostródzie - do liczby uczestników doliczono odwiedzających stoisko. Ponadto w 2017 r. ogranizowano dwa wyjazdy studyjne dla rolników i jedno szkolenie dla doraców i partnerów SIR.</t>
  </si>
  <si>
    <t>Na stronie W-MODR jest zakładka poświęcona SIR, jednak nie ma możliwości oddzielnego sprawdzenia liczby wejść na zakładkę.</t>
  </si>
  <si>
    <t>W-MODR nie prowadzi profili w mediach społecznościowych dotyczących SIR</t>
  </si>
  <si>
    <t>Publikacje stanowiły artykuły w miesięczniku wydawanym przez WMODR</t>
  </si>
  <si>
    <t>upowszechniono jeden przykład dobrej praktyki dotyczący stosowania innowacyjnego systemu rolnictwa precyzyjnego</t>
  </si>
  <si>
    <t>1 grupa, 5 spotkań</t>
  </si>
  <si>
    <t>Powstała jedna grupa tematyczna, której celem jest powołanie grupy operacyjnej i ubieganie się o wsparcie z działania "Współpraca"</t>
  </si>
  <si>
    <t>277, liczba porad udzielonych zaintersowanym osobom w zakresie SIR i grup EPI</t>
  </si>
  <si>
    <t>Osoby zaangażowane w organizację i prowadzenie spotkań wskazanych w punkcie 4.1.
Różne osoby były zaangażowane w różnym zakresie.</t>
  </si>
  <si>
    <t>W kategorii "inne" w 2016 r. jest wskazane jedno działanie, które obejmowało zarówno szkolenie, jak i wyjazd studyjny.</t>
  </si>
  <si>
    <t>Wśród przedstawicieli innych grup byli rolnicy, którzy byli zainteresowani podejmowaniem działań innowacyjnych w tematach lub dziedzinach, których dotyczyło konkretne działanie szkoleniowe.</t>
  </si>
  <si>
    <t xml:space="preserve">wydarzenia z tabeli 1 obejmują również szkolenia z tabeli 6.1 i 6.2. W związku z tym koszty wydarzeń z tabeli 1 zosały pomniejszone o koszty wydarzeń z 6.1 i 6.2, aby nie podwajać kosztów.
Do kosztów funkcjonowania zaliczamy płace z pochodnymi i koszty przejazdów służbowych.
</t>
  </si>
  <si>
    <t>Wielkopolski Ośrodek Doradztwa Rolniczego w Poznaniu</t>
  </si>
  <si>
    <t>2 stoiska informacyjno-promocyjne w 2016r.:  stoisko na Wielkopolskich Targach Rolniczych 2016r., liczba uczestników Targów szacunkowo 15 tys., stoisko na Letnich Targach Rolno-Ogrodniczych AGROMARSZ 2016r., liczba uczestników Targów szacunkowo 10 tys.   2 stoiska informacyjno-promocyjne w 2017r.: stoisko na Regionalnych Targach Rolniczych Gołaszyn 2017, liczba uczestników Targów szacunkowo 8 tys., stoisko na Wielkopolskich Targach Rolniczych 2017, liczba uczestników Targów szacunkowo 16 tys.</t>
  </si>
  <si>
    <t>WODR w Poznaniu w latach 2015-2016 nie prowadził tak szczegółowej statystyki.</t>
  </si>
  <si>
    <t>1 wyjazd studyjny: Priorytet 1 i 2 z naciskiem na ułatwianie transferu wiedzy i innowacji oraz 1 wyjazd studyjny: Priorytet 1 i 5 z naciskiem na ułatwianie transferu wiedzy i innowacji</t>
  </si>
  <si>
    <t>Liczba uczesnikLiczba przedstawicieli innych grup interesariuszy: producenci rolni</t>
  </si>
  <si>
    <t>Koszty funkcjonowania w zł: materiały, usługi obce, wynagrodzenia,składki, delegacje.</t>
  </si>
  <si>
    <t>[Zachodniopomorski Ośrodek Doradztwa Rolniczego w Barzkowicach]</t>
  </si>
  <si>
    <t xml:space="preserve">                                                                                                                                                                                                                                                                                                                                                                                                                                                                                                                    2016 -  1. Polowe pokazy pracy maszyn rolniczych, stoisko informacyjne SIR. Głównym celem realizacji operacji było zapoznanie oraz ugruntowanie wiedzy uczestników operacji na temat innowacyjnych rozwiązań w rolnictwie i wykorzystanie jej w praktyce oraz ułatwienie transferu wiedzy, nawiązanie kontaktów, współpracy pomiędzy rolnikami, doradcami a firmami oferującymi innowacyjne rozwiązania dla rolnictwa (P1 i P2). 
2. Wykorzystanie krajowych źródeł białka roślinnego w produkcji, obrocie i przeznaczeniu na cele paszowe – konferencja. Celem realizacji operacji było zapoznanie uczestników konferencji z zagadnieniami innowacyjności w rolnictwie oraz możliwościami praktycznego zastosowania przedstawionych rozwiązań, nawiązanie kontaktów i współpracy pomiędzy obecnymi i potencjalnymi uczestnikami rynków rolnych.
3. Innowacyjne metody uprawy roślin - rolnictwo precyzyjne – konferencja. Celem realizacji operacji było zapoznanie uczestników konferencji z zagadnieniami innowacyjności w rolnictwie oraz możliwościami praktycznego zastosowania przedstawionych rozwiązań, nawiązanie kontaktów i współpracy pomiędzy obecnymi i potencjalnymi uczestnikami rynków rolnych.
4. Trendy w agrobiznesie - innowacje w rynkach rolnych – konferencja. Celem realizacji operacji było zapoznanie uczestników konferencji z zagadnieniem innowacji w rolnictwie oraz możliwościami praktycznego zastosowania przedstawianych rozwiązań, nawiązanie kontaktów i współpracy pomiędzy potencjalnymi uczestnikami rynków rolnych (P1 i P3).
 2017 - 1. Rynki rolne, trendy i innowacyjność w agrobiznesie. Konferencja miała na celu głównie zapoznanie uczestników z zagadnieniem innowacji w rolnictwie oraz możliwościami praktycznego zastosowania przedstawionych rozwiązań, nawiązanie kontaktów i współpracy pomiędzy potencjalnymi uczestnikami rynków rolnych. Ponadto przybliżyła uczestnikom zasady tworzenia i funkcjonowania grup operacyjnych na rzecz innowacji oraz realizacji przez te grupy projektów.
2. Polowe pokazy pracy maszyn rolniczych – innowacje, stoisko informacyjne SIR. Głównym celem realizacji operacji było zapoznanie oraz ugruntowanie wiedzy uczestników operacji na temat innowacyjnych rozwiązań w rolnictwie i wykorzystanie jej w praktyce. Ponadto celem było ułatwienie transferu wiedzy, nawiązanie kontaktów, współpracy pomiędzy rolnikami, doradcami a firmami oferującymi innowacyjne rozwiązania dla rolnictwa.
3. Towarowe gospodarstwa ekologiczne – przykładem innowacyjnych rozwiązań technologicznych. Celem wyjazdu było wskazanie możliwości zwiększenia rentowności gospodarstw i ich konkurencyjności poprzez promowanie innowacyjnych technologii upraw w rolnictwie ekologicznym : produkcji warzywniczej, produkcji nasiennej zbóż i produkcji sadowniczej.  Wskazywanie obszarów niszowych dla rolnictwa ekologicznego. Wymiana wiedzy fachowej oraz dobrych praktyk pomiędzy uczestnikami projektu.
4. Innowacje organizacyjne w usługach agroturystycznych. Celem wyjazdu była popularyzacja innowacyjnych rozwiązań marketingowych i organizacyjnych dotyczących tworzenia profesjonalnej oferty agroturystycznej w zakresie edukacji w tych gospodarstwach oraz tworzenia sieci współpracy między usługodawcami.  Operacja poprzez rozpowszechnianie dobrych praktyk i aktywizowanie różnych grup społecznych na rzecz propagowania nowych rozwiązań wpisuje się w priorytet PROW 2014-2020 dotyczący wspierania transferu wiedzy i innowacji w rolnictwie oraz na obszarach wiejskich.
5. Przetwórstwo mleka sposobem na dywersyfikację dochodów. Warsztaty połączone z wyjazdem studyjnym pozwoliły uczestnikom zobaczyć możliwości jakie stoją przed gospodarstwami rolnymi, dały szansę wprowadzenia nowych ciągle jeszcze innowacyjnych rozwiązań na terenie województwa zachodniopomorskiego, przyczyniły się także do pokazania możliwości zastosowania innowacji organizacyjnych we własnych gospodarstwach.  Uczestnicy warsztatów mieli możliwość poznania rodzinnych gospodarstw rolnych, które już zajmują się przetwórstwem mleka, poznania specyfiki produkcji co może realnie wpłynąć na podjęcie decyzji o wprowadzeniu innowacyjnych rozwiązań w swoich gospodarstwach. 
6. Możliwości rozwoju gospodarstw ekologicznych. Wizyta studyjna w biodynamicznym gospodarstwie ekologicznym o wielokierunkowym profilu. Celem operacji było inicjowanie współdziałania pomiędzy potencjalnymi członkami grup operacyjnych (uczestnikami wyjazdu studyjnego), promocja korzyści wynikających ze współpracy i tworzenia partnerstw oraz zapoznanie uczestników szkolenia z możliwościami wsparcia w ramach działania "Współpraca" w ramach PROW 2014-2020.
7. Nowe spojrzenie na gospodarkę pasieczną – dwie konferencje. Celem organizacji konferencji było wzmocnienie branży pszczelarskiej, odbudowa i powiększenie ilości rodzin pszczelich w naszym województwie  a także zwiększenie ilości zapylaczy mających kluczowe znaczenie w poziomie plonowania roślin uprawnych. Ponadto identyfikacja problemów współczesnej gospodarki pasiecznej oraz produkcji miodu, a także próba  znalezienia innowacyjnych rozwiązań które mogłyby te problemy rozwiązać.
8. Transfer najnowszych wyników doświadczeń w chowie i hodowli królików do gospodarstw rodzinnych. Niewielki odsetek hodowców w województwie zachodniopomorskim zrzeszonych jest w różnych organizacjach np. Szczecińskim Związku Hodowców Gołębi Rasowych, Drobiu Ozdobnego i Królików, Środkowopomorskim Związku Hodowców Gołębi Rasowych i Drobnego Inwentarza w Koszalinie, Stargardzkie Stowarzyszenie Hodowców Gołębi i Drobnego Inwentarza czy też Okręgowym Związku Hodowców Zwierząt Futerkowych w Nowogardzie. Rozdrobnienie oraz samodzielne funkcjonowanie gospodarstw nie daje możliwości eksperymentowania oraz wprowadzania nowych rozwiązań w zakresie technologii produkcji, żywienia, reprodukcji czy warunków utrzymania zwierząt. Organizacja seminarium połączonego z wyjazdem studyjnym pozwoliła na przedstawienie grupie możliwości tworzenia sieci współpracy partnerskiej, zasad tworzenia grup roboczych oraz możliwości pozyskiwania funduszy na opracowywanie, wdrażanie nowych lub znacznie udoskonalonych praktyk, procesów, technologii chowu i hodowli królików.
               </t>
  </si>
  <si>
    <t>brak statystyki wejść na stronę internetową - brak zliczania wejść ze względów technicznych (www.zodr.pl)</t>
  </si>
  <si>
    <t>facebook, newsletter - nie posiadamy instalacji</t>
  </si>
  <si>
    <t xml:space="preserve"> 2015 rok  Publikacja broszura UPRAWA ROŚLIN NA CELE ENEGETYCZNE nakład 500 egz.  na stoisko informacyjne SIR podczas XXIX Targów Rolnych AGRO POMERANIA 2016 oraz adresowana do rolników i samorządów lokalnych oraz doradców ZODR,                                                                                                                          publikacja  broszura INNOWACYJNE ROLNICTWO nakład 100 egz. na stoisko informacyjne SIR podczas XXIX Targów Rolnych AGRO POMERANIA 2016 adresowane do doradców ZODR i rolników,                                                                                                                                                                                                                                      ZACHODNIOPOMORSKI MAGAZYN ROLNICZY nr 108 marzec 2016 nakład 3000 egz.BY sprostać wyzwaniom przyszłości str. 20.21.                                                                                           ZACHODNIOPOMORSKI MAGAZYN ROLNICZY nr 110 maj 2016 nakład 3000 egz.Odmiana dobrze dobrana str. 22-25.                                                                             ZACHODNIOPOMORSKI MAGAZYN ROLNICZY nr 112 lipiec 2016 nakład 3000 egz.Europejski tydzień zrównoważonego rozwoju 2016 str. 6.                                  ZACHODNIOPOMORSKI MAGAZYN ROLNICZY nr 112 lipiec 2016 nakład 3000 egz.Innowacje w produkcji roślinnej str. 8.                                  ZACHODNIOPOMORSKI MAGAZYN ROLNICZY nr 109 kwiecień 2016 nakład 3000 egz. Promocja SIR zaproszenie na konferencjęnt. Uproszczenia i innowacje w technologiach produkcji roślinnej  ZACHODNIOPOMORSKI MAGAZYN ROLNICZY  (czerwiec)  Innowacje w produkcji roślinej, System uprawy a zachwaszczenie (materiał z konferencji);   Korzyści z uproszczeń (materiał z konferencji);  lipiec - publikacja-broszura Uprawa roślin na cele energetyczne;  wrzesień broszura -    Innowacje w rolnictwie;  Zachodniopomorski  Magazyn Rolniczy     nr 113 -  Dron  - stały element krajobrazu ? ; październik Zachodniopomorski Magazyn Rolniczy nr 114 -   Polowe pokazy pracy maszyn - innowacje,  Stawiamy na innowacyjność; Zachodniopomorski Magazyn Rolniczy nr 115 (listopad) -     ZODR w Barzkowicach informuje o planowanych projektach organizowanych w ramach PO KSOW na lata 2016-2017 w zakresie SIR ; Zachodniopomorski Magazyn Rolniczy (grudzień) - Nauka doradztwu rolniczemu,    Forum Wiedzy i Innowacji , Innowacje w Zagrodzie Edukacyjnej, SIR - Sieć kontaktów i powiązań, Jak podjąć inicjatywę?, Strączkowe wracają do łask, Ogrzewanie bez smogu; ZACHODNIOPOMORSKI MAGAZYN ROLNICZY (luty 2017) nr 117 - Innowacje w rolnictwie; Nauka, doradztwo, innowacje; Panele fotowoltaiczne w gospodarstwach rolnych;  Rolnictwo precyzyjne; ZACHODNIOPOMORSKI MAGAZYN ROLNICZY (marzec 2017) nr 118 - Gospodarstwa opiekuńcze; ZACHODNIOPOMORSKI MAGAZYN ROLNICZY (maj 2017) nr 120 -  Innowacje w polskich gospodarstwach                                                                                                                                                                                                                                                                                                              październik 2017 - artykuły - zaproszenie na szkolenie połączone z wyjzadem studyjnym nt."Możliwości rozwoju gospodarstw ekologicznych"; Polowe pokazy pracy maszyn                                                                                                                                              </t>
  </si>
  <si>
    <t>brak</t>
  </si>
  <si>
    <t xml:space="preserve"> informacja na stronie zodr.pl nt. poszukiwanie ekspertów do 2 nowych Grup Fokusowych, luty 2017; informacja na stronie internetowej zodr.pl nt. poszukiwania ekspertów do 3 nowych Grup Fokusowych, czerwiec 2017;</t>
  </si>
  <si>
    <t xml:space="preserve">2016 - 1. Panele fotowoltaiczne w gospodarstwach rolnych województwa zachodniopomorskiego – szkolenie oraz wyjazd studyjny. Głównym celem operacji było przeszkolenie uczestników operacji  na temat regulacji prawnych w zakresie OZE, programów wspierających instalacje OZE, a także szczegółów technicznych instalacji.                                                                                                                                                                                                                                                                      2. Wdrażanie inicjatyw na rzecz rozwoju obszarów wiejskich oraz aktywizacja mieszkańców wsi na rzecz podejmowania inicjatyw w zakresie rozwoju obszarów wiejskich, w tym kreowanie procesu tworzenia miejsc pracy na terenach wiejskich – seminarium połączone z wyjazdem studyjnym. Głównym celem realizacji operacji była aktywizacja mieszkańców wsi na rzecz podejmowania inicjatyw w zakresie rozwoju obszarów wiejskich, w tym kreowania miejsc pracy na terenach wiejskich.                                                                                                                                                                                                                       3. Konferencja Z WYJAZDEM STUDYJNYM 19-20 maja 2016 UPROSZCZENIA I INNOWACJE W TECHNOLOGIACH PRODUKCJI ROŚLINNEJ;              grupa mieszana, uczestnicy: doradcy,  rolnicy, przedsiębiorcy rolni, pracownicy nauki, pracownicy instytucji okolorolniczych                                                                2017 - 1. Rynki rolne, trendy i innowacyjność w agrobiznesie. Konferencja miała na celu głównie zapoznanie uczestników z zagadnieniem innowacji w rolnictwie oraz możliwościami praktycznego zastosowania przedstawionych rozwiązań, nawiązanie kontaktów i współpracy pomiędzy potencjalnymi uczestnikami rynków rolnych. Ponadto przybliżyła uczestnikom zasady tworzenia i funkcjonowania grup operacyjnych na rzecz innowacji oraz realizacji przez te grupy projektów.
2. Towarowe gospodarstwa ekologiczne – przykładem innowacyjnych rozwiązań technologicznych. Celem wyjazdu było wskazanie możliwości zwiększenia rentowności gospodarstw i ich konkurencyjności poprzez promowanie innowacyjnych technologii upraw w rolnictwie ekologicznym : produkcji warzywniczej, produkcji nasiennej zbóż i produkcji sadowniczej.  Wskazywanie obszarów niszowych dla rolnictwa ekologicznego. Wymiana wiedzy fachowej oraz dobrych praktyk pomiędzy uczestnikami projektu.
3. Innowacje organizacyjne w usługach agroturystycznych. Celem wyjazdu była popularyzacja innowacyjnych rozwiązań marketingowych i organizacyjnych dotyczących tworzenia profesjonalnej oferty agroturystycznej w zakresie edukacji w tych gospodarstwach oraz tworzenia sieci współpracy między usługodawcami.  Operacja poprzez rozpowszechnianie dobrych praktyk i aktywizowanie różnych grup społecznych na rzecz propagowania nowych rozwiązań wpisuje się w priorytet PROW 2014-2020 dotyczący wspierania transferu wiedzy i innowacji w rolnictwie oraz na obszarach wiejskich.
4. Przetwórstwo mleka sposobem na dywersyfikację dochodów. Warsztaty połączone z wyjazdem studyjnym pozwoliły uczestnikom zobaczyć możliwości jakie stoją przed gospodarstwami rolnymi, dały szansę wprowadzenia nowych ciągle jeszcze innowacyjnych rozwiązań na terenie województwa zachodniopomorskiego, przyczyniły się także do pokazania możliwości zastosowania innowacji organizacyjnych we własnych gospodarstwach.  Uczestnicy warsztatów mieli możliwość poznania rodzinnych gospodarstw rolnych, które już zajmują się przetwórstwem mleka, poznania specyfiki produkcji co może realnie wpłynąć na podjęcie decyzji o wprowadzeniu innowacyjnych rozwiązań w swoich gospodarstwach. 
5. Możliwości rozwoju gospodarstw ekologicznych. Wizyta studyjna w biodynamicznym gospodarstwie ekologicznym o wielokierunkowym profilu. Celem operacji było inicjowanie współdziałania pomiędzy potencjalnymi członkami grup operacyjnych (uczestnikami wyjazdu studyjnego), promocja korzyści wynikających ze współpracy i tworzenia partnerstw oraz zapoznanie uczestników szkolenia z możliwościami wsparcia w ramach działania "Współpraca" w ramach PROW 2014-2020.
6. Nowe spojrzenie na gospodarkę pasieczną – dwie konferencje. Celem organizacji konferencji było wzmocnienie branży pszczelarskiej, odbudowa i powiększenie ilości rodzin pszczelich w naszym województwie  a także zwiększenie ilości zapylaczy mających kluczowe znaczenie w poziomie plonowania roślin uprawnych. Ponadto identyfikacja problemów współczesnej gospodarki pasiecznej oraz produkcji miodu, a także próba  znalezienia innowacyjnych rozwiązań które mogłyby te problemy rozwiązać.
7. Transfer najnowszych wyników doświadczeń w chowie i hodowli królików do gospodarstw rodzinnych. Niewielki odsetek hodowców w województwie zachodniopomorskim zrzeszonych jest w różnych organizacjach np. Szczecińskim Związku Hodowców Gołębi Rasowych, Drobiu Ozdobnego i Królików, Środkowopomorskim Związku Hodowców Gołębi Rasowych i Drobnego Inwentarza w Koszalinie, Stargardzkie Stowarzyszenie Hodowców Gołębi i Drobnego Inwentarza czy też Okręgowym Związku Hodowców Zwierząt Futerkowych w Nowogardzie. Rozdrobnienie oraz samodzielne funkcjonowanie gospodarstw nie daje możliwości eksperymentowania oraz wprowadzania nowych rozwiązań w zakresie technologii produkcji, żywienia, reprodukcji czy warunków utrzymania zwierząt. Organizacja seminarium połączonego z wyjazdem studyjnym pozwoliła na przedstawienie grupie możliwości tworzenia sieci współpracy partnerskiej, zasad tworzenia grup roboczych oraz możliwości pozyskiwania funduszy na opracowywanie, wdrażanie nowych lub znacznie udoskonalonych praktyk, procesów, technologii chowu i hodowli królików.
               </t>
  </si>
  <si>
    <t>koszty funkcjonowania obejmują wynagrodzenia, delegacje, noclegi</t>
  </si>
  <si>
    <t>01 styczeń 2015 - 31 grudzień 2017 r.</t>
  </si>
  <si>
    <t>SR KSOW Województwa Świętokrzyskiego</t>
  </si>
  <si>
    <t>Rok 2015 - Udział w 3 imprezach targowych (dwie krajowe -   Udział w Międzynarodowych Targach Łódzkich Natura Food oraz Udział w Targach Sadowniczo-Warzywniczych Hort-Technika ; jedna zagraniczna - Udział w Międzynarodowych Targach INDAGRA 2015 w Bukareszcie ); organizacja 2 spotkań bezkosztowych (jako jedna operacja) nt. zasad wyboru Lokalnych Strategii Rozwoju w ramach PROW na lata 2014-2020  - priorytet 1 i priorytet 6 (włączenie społeczne); organizacja konferencji w ramach Planu komunikacyjnego - priorytet 1 i priorytet 2 i 3                                                                                                                                                                                             Rok 2016 - 2i3; 4i5; 6 - operacja dotyczy wsparcia organizacji cyklicznych Spotkań Sadowniczych w Sandomierzu w roku 2016, działania o charakterze targowo-wystawienniczo-konferencyjnym, realizującego kilka priorytetów.                                                                                                                                                              W jednym wydarzeniu o zasięgu krajowym pn. LGD Świętokrzyskie ponad wszystkie! - AGROTRAVEL - wynajem powierzchni targowej, zabudowa, wyposażenie - poza SR KSOW wo. świętokrzyskiego uczestniczyło  siedem  jednostek sieci KSOW.                                                                                                     Nazwy wszystkich działań, zrealizowanych w 2015, 2016 i 2017 roku, zostały opisane w komentarzu do tabeli 1.2</t>
  </si>
  <si>
    <r>
      <rPr>
        <b/>
        <sz val="10"/>
        <rFont val="Calibri"/>
        <family val="2"/>
        <charset val="238"/>
      </rPr>
      <t xml:space="preserve">Rok 2015 - </t>
    </r>
    <r>
      <rPr>
        <sz val="10"/>
        <rFont val="Calibri"/>
        <family val="2"/>
        <charset val="238"/>
      </rPr>
      <t xml:space="preserve">Liczba uczestników w wydarzeniach o zasięgu lokalnym i krajowym jest podana w przybliżeniu, ze względu na charakter niektórych działań (np. festyny, dożynki). </t>
    </r>
    <r>
      <rPr>
        <b/>
        <sz val="10"/>
        <rFont val="Calibri"/>
        <family val="2"/>
        <charset val="238"/>
      </rPr>
      <t xml:space="preserve">Wydarzenia lokalne: </t>
    </r>
    <r>
      <rPr>
        <sz val="10"/>
        <rFont val="Calibri"/>
        <family val="2"/>
        <charset val="238"/>
      </rPr>
      <t>Promowanie wydarzenia pn. "XV Świętokrzyskie Dożynki Wojewódzkie" -  emisja w telewizji regionalnej (szczegóły w tabeli 2.4); Współorganizacja konkursu na tradycyjny wieniec dożynkowy podczas Dożynek Wojewódzkich w 2015 r.(252</t>
    </r>
    <r>
      <rPr>
        <b/>
        <sz val="10"/>
        <rFont val="Calibri"/>
        <family val="2"/>
        <charset val="238"/>
      </rPr>
      <t xml:space="preserve"> </t>
    </r>
    <r>
      <rPr>
        <sz val="10"/>
        <rFont val="Calibri"/>
        <family val="2"/>
        <charset val="238"/>
      </rPr>
      <t xml:space="preserve">osoby); Organizacja plenerowego wydarzenia promocyjno-edukacyjnego pn. "Dary Świętokrzyskich Lasów" (3000 osób);  Organizacja imprezy pn. "Ogólnopolski Hubertus Świętokrzyski" (5000 osób); W ramach Planu komunikacyjnego: 2 spotkanie bezkosztowe (jako jedna operacja) nt. zasad wyboru Lokalnych Strategii Rozwoju w ramach PROW na lata 2014-2020, (37 i 35 osób); Konferencja dotycząca działań infrastrukturalnych PROW 2014-2020 (221osób). </t>
    </r>
    <r>
      <rPr>
        <b/>
        <sz val="10"/>
        <rFont val="Calibri"/>
        <family val="2"/>
        <charset val="238"/>
      </rPr>
      <t xml:space="preserve">Wydarzenia krajowe: </t>
    </r>
    <r>
      <rPr>
        <sz val="10"/>
        <rFont val="Calibri"/>
        <family val="2"/>
        <charset val="238"/>
      </rPr>
      <t xml:space="preserve">Organizacja stoiska promującego wartości kulturowe obszarów wiejskich Województwa Świętokrzyskiego podczas Dożynek Prezydenckich w Spale w 2015 r. (3000 osób); Udział w Międzynarodowych Targach Łódzkich Natura Food - (22 uczestników); Udział w Targach Sadowniczo-Warzywniczych Hort-Technika (300 uczestników); </t>
    </r>
    <r>
      <rPr>
        <b/>
        <sz val="10"/>
        <rFont val="Calibri"/>
        <family val="2"/>
        <charset val="238"/>
      </rPr>
      <t xml:space="preserve">Wydarzenia międzynarodowe: </t>
    </r>
    <r>
      <rPr>
        <sz val="10"/>
        <rFont val="Calibri"/>
        <family val="2"/>
        <charset val="238"/>
      </rPr>
      <t>Udział w Międzynarodowych Targach INDAGRA 2015 w Bukareszcie (19 uczestników).</t>
    </r>
    <r>
      <rPr>
        <b/>
        <sz val="10"/>
        <rFont val="Calibri"/>
        <family val="2"/>
        <charset val="238"/>
      </rPr>
      <t xml:space="preserve">                                                                                                                                                         Rok 2016</t>
    </r>
    <r>
      <rPr>
        <sz val="10"/>
        <rFont val="Calibri"/>
        <family val="2"/>
        <charset val="238"/>
      </rPr>
      <t xml:space="preserve"> - Liczba uczestników w przypadku wydarzeń, podczas których nie była sporządzona lista obecności lub  formularze zgłoszeniowe podana została na podstawie sprawozdania złożonego przez wykonawcę, liczby zaproszeń, liczby mieszkańców gminy (imprezy plenerowe). W przypadku targów jest to liczba ustalona na podstawie liczby osób wystawców, odwiedzjących stoisko w ciagu każdego dnia targowego oraz liczba sprzedanych biletów.    </t>
    </r>
    <r>
      <rPr>
        <b/>
        <sz val="10"/>
        <rFont val="Calibri"/>
        <family val="2"/>
        <charset val="238"/>
      </rPr>
      <t xml:space="preserve">Wydarzenia lokalne: </t>
    </r>
    <r>
      <rPr>
        <sz val="10"/>
        <rFont val="Calibri"/>
        <family val="2"/>
        <charset val="238"/>
      </rPr>
      <t xml:space="preserve">Szkolenie lokalnych grup działania województwa świętokrzyskiego (40 osób); II Forum Aktywnych Kobiet Ziemi Koneckiej - Produkt Tradycyjny i lokalny czynnikiem rozwoju obszarów wiejskich (104 osoby);  Organizacja konferencji podczas imprezy pn.: „Wojewódzkie Święto Kwitnącej Wiśni – Nowe 2016” ( 360 osób); </t>
    </r>
    <r>
      <rPr>
        <b/>
        <sz val="10"/>
        <rFont val="Calibri"/>
        <family val="2"/>
        <charset val="238"/>
      </rPr>
      <t xml:space="preserve"> </t>
    </r>
    <r>
      <rPr>
        <sz val="10"/>
        <rFont val="Calibri"/>
        <family val="2"/>
        <charset val="238"/>
      </rPr>
      <t>Organizacja X Festiwalu Ludowego im. Stefana Ostrowskiego i Jana Jawora (2 tys. osób); Upowszechnianie dobrych praktyk w zakresie rozwoju obszarów wiejskich poprzez organizację XIX Dnia Świetokrzyskiej Truskawki (2 tys. osób);Prezentacja produktu regionalnego podczas wydarzenia pn.„Świętokrzyska Victoria” ( 400 osób);  Organizacja Finału Regionalnego Konkursu „Nasze Kulinarne Dziedzictwo – Smaki Regionów” ( tysiąc osób)</t>
    </r>
    <r>
      <rPr>
        <b/>
        <sz val="10"/>
        <rFont val="Calibri"/>
        <family val="2"/>
        <charset val="238"/>
      </rPr>
      <t xml:space="preserve">; </t>
    </r>
    <r>
      <rPr>
        <sz val="10"/>
        <rFont val="Calibri"/>
        <family val="2"/>
        <charset val="238"/>
      </rPr>
      <t>Promowanie wartości kulturowych obszarów wiejskich poprzez organizację XVI Świętokrzyskich Dożynek Wojewódzkich (1500 osó);</t>
    </r>
    <r>
      <rPr>
        <b/>
        <sz val="10"/>
        <rFont val="Calibri"/>
        <family val="2"/>
        <charset val="238"/>
      </rPr>
      <t xml:space="preserve"> </t>
    </r>
    <r>
      <rPr>
        <sz val="10"/>
        <rFont val="Calibri"/>
        <family val="2"/>
        <charset val="238"/>
      </rPr>
      <t xml:space="preserve"> Organizacja konkursu "Na najpiękniejszy wieniec dożynkowy"podczas XVI Świętokrzyskich Dożynek Wojewódzkich (520 osób); Promocja produktów lokalnych poprzez organizację konkursu kulinarnego "Przez Żołądek do Serca" (180 osób); Organizacja plenerowego wydarzenia promocyjno-edukacyjnego pn. "Dary Świętokrzyskich Lasów" (3000 osób);  organizacja wyjazdu studyjnego na XVIII Międzynarodową wystawę Rolniczą AGRO SHOW w Bednarach w celu gromadzenia i upowszechnienia dobrych praktyk mających wpływ na obszary wiejskie (35 osób); Organizacja szkoleniapn. "Innowacyjne metody chowu małych przeżuwaczy" (61 osób); Organizacjad  szkolenia na temat wymiany doświadczeń w zakresie rozwoju obszarów wiejskich poprzez działalność lokalnych stowarzyszeń, na przykładzie działań Świętokrzyskiej Izby Rolniczej i Świętokrzyskiej Federacji Agroturystyki i Turystki Wiejskiej „Ziemia Świętokrzyska" (156 osób); Organizacja szkolenia pn. „Podniesienie konkurencyjności gospodarstw rolnych poprzez zrzeszanie się rolników ze szczególnym uwzględnieniem formy spółdzielczej” (199 osób); W ramach Planu komunikacyjnego spotkania informacyjno – szkoleniowe przed naborami na Gospodarkę wodno-ściekową i Odnowę wsi (179 osób). (</t>
    </r>
    <r>
      <rPr>
        <b/>
        <sz val="10"/>
        <rFont val="Calibri"/>
        <family val="2"/>
        <charset val="238"/>
      </rPr>
      <t xml:space="preserve">Wydarzenia krajowe: </t>
    </r>
    <r>
      <rPr>
        <sz val="10"/>
        <rFont val="Calibri"/>
        <family val="2"/>
        <charset val="238"/>
      </rPr>
      <t xml:space="preserve"> Udział w Targach Ekologia dla Rodziny ECOFAMILY 2016  w Kielcach (3 tys. osób w tym 10 wystawców z woj. św.) ; Organizacja działania propagującego produkt regionalny województwa świętokrzyskiego podczas Spotkania Noworocznego Członków Warszawskiego Klubu Przyjaciół Ziemi Kieleckiej (450 osób); Prezentacja produktu regionalnego podczas Mistrzostw Polski Urzędów Marszałkowskich w Piłce Nożnej Halowej „Świętokrzyskie 2016” (300 osób); Wsparcie organizacji cyklicznych "XXV Spotkań Sadowniczych SANDOMIERZ 2016" o charakterze targowo - wystawienniczo konferencyjnym w celu ułatwienia transferu wiedzy i innowacji w rolnictwie oraz zwiekszenia rentowności i konkurencyjności gospodarstw sadowniczych (300 osób); Olimpiada Młodych Producentów Rolnych Finał Krajowy ( 90 osób); Organizacja i Przeprowadzenie Ogólnopolskiego Festiwalu Artystycznego Wsi Polskiej 2016 (400 osób); Udział w Targach Technologii Sadowniczych i Warzywniczych HORTI-TECH (200 osób); Promocja wartości kulturowych obszarów wiejskich woj. świętokrzyskiego podczas Dożynek Prezydenckich w Spale (3000 osób); </t>
    </r>
    <r>
      <rPr>
        <b/>
        <sz val="10"/>
        <rFont val="Calibri"/>
        <family val="2"/>
        <charset val="238"/>
      </rPr>
      <t xml:space="preserve">Wydarzenia międzynarodowe: </t>
    </r>
    <r>
      <rPr>
        <sz val="10"/>
        <rFont val="Calibri"/>
        <family val="2"/>
        <charset val="238"/>
      </rPr>
      <t xml:space="preserve">LGD Świętokrzyskie ponad wszystkie! - AGROTRAVEL - wynajem powierzchni targowej, zabudowa, wyposażenie (20 tys.osób w tym 16 wystawców LGD-ów) .                                                                                                                                                                                                                    </t>
    </r>
    <r>
      <rPr>
        <b/>
        <sz val="10"/>
        <rFont val="Calibri"/>
        <family val="2"/>
        <charset val="238"/>
      </rPr>
      <t xml:space="preserve">Rok 2017 -  </t>
    </r>
    <r>
      <rPr>
        <sz val="10"/>
        <rFont val="Calibri"/>
        <family val="2"/>
        <charset val="238"/>
      </rPr>
      <t xml:space="preserve">Liczba uczestników w przypadku wydarzeń, podczas których nie była sporządzona lista obecności lub  formularze zgłoszeniowe podana została na podstawie sprawozdania złożonego przez wykonawcę.  </t>
    </r>
    <r>
      <rPr>
        <b/>
        <sz val="10"/>
        <rFont val="Calibri"/>
        <family val="2"/>
        <charset val="238"/>
      </rPr>
      <t xml:space="preserve">Wydarzenia lokalne: </t>
    </r>
    <r>
      <rPr>
        <sz val="10"/>
        <rFont val="Calibri"/>
        <family val="2"/>
        <charset val="238"/>
      </rPr>
      <t>Podniesienie wiedzy i umiejętności pracowników lgd województwa świętokrzyskiego (110 osób); Organizacja konkursu promującego produkty ekologiczne podczas Festiwalu Ludowego (2020); Żywność od rolnika wprost do konsumenta (137 osób); Wspieranie rozwoju i promocja potencjału obszarów wiejskich poprzez organizację XX Dnia Świętokrzyskiej Truskawki w Bielinach (7000 osób); Promocja produktów regionalnych poprzez organizację Świętokrzyskiego Konkuru Kulinarnego (150 osób); Zioła szansą aktywizacji mieszkańców obszarów wiejskich (33 osoby); Dobre - bo tradycyjne i lokalne (1000 osób); Świętokrzyska Wojewódzka Wystawa Zwierząt Hodowlanych (2000 osób); Wyjazd studyjny (krajowy) dla członków Sieci Dziedzictwo Kulinarne Świętokrzyskie (35 osób); Organizacja warsztatów dla członków Sieci Dziedzictwo Kulinarne Świętokrzyskie (50 osób); Organizacja plenerowego wydarzenia promocyjno-edukacyjnego pn. „Dary Świętokrzyskich Lasów” (3000 osób); Konkurs kulinarny dla Kół Gospodyń Wiejskich "Smaki gęsiny" (205 osób); Wyjazd studyjny do krajów Unii Europejskiej (17 osób). W ramach Palnu komunikacyjnego szkolenie dla Lokalnych Grup Dzialania (49 osób).</t>
    </r>
  </si>
  <si>
    <t xml:space="preserve">swietokrzyskie.ksow.pl; prow2014-2020.sbrr.pl </t>
  </si>
  <si>
    <r>
      <t xml:space="preserve">Publikacja: Vademecum rolnictwa i rozwoju obszarów wiejskich województwa świętokrzyskiego;  realizacja priorytetu 1 - </t>
    </r>
    <r>
      <rPr>
        <b/>
        <sz val="10"/>
        <color theme="1"/>
        <rFont val="Calibri"/>
        <family val="2"/>
        <charset val="238"/>
        <scheme val="minor"/>
      </rPr>
      <t>Ułatwianie transferu wiedzy i innowacji w rolnictwie i leśnictwie oraz na obszarach wiejskich</t>
    </r>
  </si>
  <si>
    <t xml:space="preserve">rok 2015: Liczba emisji każdej informacji - 80; oglądalność: codziennie: 19,7% - 64 419 widzów; kilka razy w tygodniu: 36,7% - 120 009 widzów rok 2017: W ramach jednej operacji z Planu komunikacyjnego: reklama w telewizji regionalnej - liczba emisji 20; 5 audycji reklamowych w radio -  liczba emisji 20 </t>
  </si>
  <si>
    <r>
      <rPr>
        <b/>
        <sz val="10"/>
        <color theme="1"/>
        <rFont val="Calibri"/>
        <family val="2"/>
        <charset val="238"/>
        <scheme val="minor"/>
      </rPr>
      <t>Rok 201</t>
    </r>
    <r>
      <rPr>
        <sz val="10"/>
        <color theme="1"/>
        <rFont val="Calibri"/>
        <family val="2"/>
        <charset val="238"/>
        <scheme val="minor"/>
      </rPr>
      <t xml:space="preserve">5 - 2 posiedzenia Wojewódzkiej Grupy Roboczej ds. KSOW: Pierwsze: w sprawie przyjęcia Regulaminu Pracy Grupy Roboczej do spraw Krajowej Sieci Obszarów Wiejskich Województwa Świętokrzyskiego, zaopiniowania Planu operacyjnego na lata 2014-2015 Planu Działania Krajowej Sieci Obszarów Wiejskich na lata 2014-2020 dla województwa świętokrzyskiego oraz w sprawie zaopiniowania Projektu Planu Działania Krajowej Sieci Obszarów Wiejskich  na lata 2014 – 2020. Drugie: w sprawie zaopiniowania Projektu Listy rankingowej Planu operacyjnego na lata 2016 – 2017 na 2016 rok Planu Działania  Krajowej Sieci Obszarów Wiejskich  na lata 2014- 2020 dla województwa świętokrzyskiego oraz zaopiniowania Planu operacyjnego na lata 2016 - 2017  na  2016 rok Planu Działania Krajowej Sieci Obszarów Wiejskich na lata 2014-2020 dla województwa świętokrzyskiego.  
</t>
    </r>
    <r>
      <rPr>
        <b/>
        <sz val="10"/>
        <color theme="1"/>
        <rFont val="Calibri"/>
        <family val="2"/>
        <charset val="238"/>
        <scheme val="minor"/>
      </rPr>
      <t>Rok 2016</t>
    </r>
    <r>
      <rPr>
        <sz val="10"/>
        <color theme="1"/>
        <rFont val="Calibri"/>
        <family val="2"/>
        <charset val="238"/>
        <scheme val="minor"/>
      </rPr>
      <t xml:space="preserve"> - 6 posiedzeń Wojewódzkiej Grupy Roboczej ds. KSOW w sprawie: zaopiniowanie informacji z realizacji Planu Działania 2014-2015 w ramach PROW 2007-2013; zaopiniowanie informacji półrocznej z realizacji Planu Operacyjnego na lata 2014-2015 w ramach PROW 2014-2020 oraz sprawozdania dwuletniego z realizacji Planu Operacyjnego na lata 2014-2015 w ramach PROW 2014-2020; zaopiniowanie sprawozdania rocznego z realizacji Planu działania Krajowej Sieci Obszarów Wiejskich na lata 2014-2020 za rok 2015; zaopiniowania propozycji zmiany nazwy działania w Planie operacyjnym Krajowej Sieci Obszarów Wiejskichna lata 2016-2017 w ramach Programu Rozwoju Obszarów Wiejskich na lata 2014-2020; zaopiniowania I Informacji półrocznej z realizacji Planu operacyjnego KSOW na lata 2016-2017 w ramach PROW na lata 2014-2020; zaopiniowania II Informacji półrocznej z realizacji Planu operacyjnego KSOW na lata 2016-2017 w ramach PROW na lata 2014-2020.
</t>
    </r>
    <r>
      <rPr>
        <b/>
        <sz val="10"/>
        <color theme="1"/>
        <rFont val="Calibri"/>
        <family val="2"/>
        <charset val="238"/>
        <scheme val="minor"/>
      </rPr>
      <t xml:space="preserve">Rok 2017 </t>
    </r>
    <r>
      <rPr>
        <sz val="10"/>
        <color theme="1"/>
        <rFont val="Calibri"/>
        <family val="2"/>
        <charset val="238"/>
        <scheme val="minor"/>
      </rPr>
      <t xml:space="preserve">-  4 posiedzenia Wojewódzkiej Grupy Roboczej ds. KSOW: 1 posiedzenie w sprawie rekomendacji działań skierowanych do realizacji w ramach Planu komunikacyjnego Planu operacyjnego na lata 2016 – 2017 na 2017 rok Planu Działania Krajowej Sieci Obszarów Wiejskich na lata 2014 – 2020 dla województwa świętokrzyskiego; zaopiniowania Listy ocenianych operacji i wybranych do realizacji Planu operacyjnego na lata 2016 – 2017 na 2017 rok Planu Działania Krajowej Sieci Obszarów Wiejskich na lata 2014 – 2020 dla województwa świętokrzyskiego oraz zaopiniowania zmian w Planie operacyjnym na lata 2016 – 2017 Planu Działania Krajowej Sieci Obszarów Wiejskich na lata 2014 – 2020 dla województwa świętokrzyskiego; 2 posiedzenie w sprawie zaopiniowania Sprawozdania rocznego z realizacji Planu działania Krajowej Sieci Obszarów Wiejskich za rok 2016 w ramach Programu Rozwoju Obszarów Wiejskich na lata 2014-2020; 3 posiedzenie w sprawie zaopiniowania III Informacji półrocznej z realizacji Planu operacyjnego Krajowej Sieci Obszarów Wiejskich na lata 2016-2017 w ramach Programu Rozwoju Obszaró Wiejskich na lata 2014-2020; 4 posiedzenie w sprawie zaopiniowania zmian w Planie operacyjnym na lata 2016-2017 Planu Działania Krajowej Sieci Obszarów Wiejskich na lata 2014-2020 dla województwa świętokrzyskiego. 
</t>
    </r>
  </si>
  <si>
    <r>
      <rPr>
        <b/>
        <sz val="10"/>
        <rFont val="Calibri"/>
        <family val="2"/>
        <charset val="238"/>
      </rPr>
      <t>Rok 2016:</t>
    </r>
    <r>
      <rPr>
        <sz val="10"/>
        <rFont val="Calibri"/>
        <family val="2"/>
        <charset val="238"/>
      </rPr>
      <t xml:space="preserve"> II Forum Aktywnych Kobiet Ziemi Koneckiej - Produkt Tradycyjny i lokalny czynnikiem rozwoju obszarów wiejskich - osoby działające w organizacjach pozarządowych tj. stowarzyszeniach, grupach kobiecych formalnych i nieformalnych, kobiety pracujące dla dobra społeczności; szkolenie lokalnych grup działania województwa świętokrzyskiego - pracownicy lokalnych grup działania województwa świętokrzyskiego.  szkolenie SIR - liderzy wiejskich organizacji i grup nieformalnych, predstawiciele Świętokrzyskiej Izby Rolniczej oraz Świętokrzyskiej Federacji Agroturystyki i Turystyki Wiejskiej "Ziemia Świętokrzyska"; wyjazd studyjny - rolnicy, producenci, doradcy, przedstwiciele administracji rządowej i samorządowej; szkolenie małe przezuwacze - rolnicy, Świętokrzyski Związek Hodowców Owiec i Kóz firmy ubojowe, przetwórcze i handlowe;  szkolenie ŚODR - rolnicy prowadzący działalnosc rolniczą                                                                      </t>
    </r>
    <r>
      <rPr>
        <b/>
        <sz val="10"/>
        <rFont val="Calibri"/>
        <family val="2"/>
        <charset val="238"/>
      </rPr>
      <t xml:space="preserve">Rok 2017: </t>
    </r>
    <r>
      <rPr>
        <sz val="10"/>
        <rFont val="Calibri"/>
        <family val="2"/>
        <charset val="238"/>
      </rPr>
      <t>Podniesienie wiedzy i umiejętności pracowników lgd województwa świętokrzyskiego (szkolenia) - przedstawiciele lokalnych grup działania - członkowie Świętokrzyskiej Sieci LGD; Organizacja warsztatów dla członków Sieci Dziedzictwo Kulinarne Świętokrzyskie - Członkowie Sieci Dziedzictwo Kulinarne Świętokrzyskie; W ramach Palnu komunikacyjnego szkolenie dla Lokalnych Grup Dzialania; Podniesienie wiedzy i umiejętności pracowników lgd województwa świętokrzyskiego (wizyta studyjna na Łotwie) - członkowie Świętokrzyskiej Sieci LGD; Zioła szansą aktywizacji mieszkańców obszarów wiejskich (wyjazd studyjny) - rolnicy z terenu województwa świętokrzyskiego, posiadający gospodarstwo rolne o powierzchni nie przekraczającej  średniej województwa; Wyjazd studyjny (krajowy) dla członków Sieci Dziedzictwo Kulinarne Świętokrzyskie - Członkowie Sieci Dziedzictwo Kulinarne Świętokrzyskie; Wyjazd studyjny do krajów Unii Europejskiej -  osoby odpowiedzialne za zagadnienia związane   z realizacją zadań z zakresu rozwiązywania problemów szerszego zastosowania i  wykorzystania odnawialnych źródeł energii na terenach wiejskich, a także wdrażania inicjatyw z zakresu rozwoju obszarów wiejskich , rolnictwa, przetwórstwa artykułów rolno- spożywczych, dziedzictwa kulturowego i przyrodniczego wsi w jednostkach samorządu terytorialnego .</t>
    </r>
  </si>
  <si>
    <t xml:space="preserve">Zebranie od LGD-ów informacji dotyczących realizacji projektów w zakresie współpracy międzynarodowej oraz poszukiwania partnerów zagranicznych. </t>
  </si>
  <si>
    <t>Koszty funkcjonowania - koszty administracyjne</t>
  </si>
  <si>
    <t>Ośrodek Doradztwa Rolniczego w. świętokrzyskiego</t>
  </si>
  <si>
    <t xml:space="preserve">W 2015 roku odbyło się 4 szkolenia informacyjne na których przeszkolono 79 osób ( rolnicy, przedsiębiorcy)  Przeszkolono również 37 pracowników ODR ( 2 szkolenia) Na konferencji odnośnie SIR przekazano informację dla 60 osób. Przygotowano stosika informacyjne na 3  wystawach/targach. Poszukiwano partnerów i przekazano informację na temat SIR na 9 spotkaniach dla samorządów, przedsiębirców i rolników. W 2016 roku Łącznie odbyło się 10 takich spotkań (9 spotkań szkoleniowych, 1 konferencja), na których informacje odnośnie SIR przekazano ponad 228 osobom.       Przygotowano stoiska promocyjne na 13 wystawach, dożynkach, targach gdzie próbowano nawiązać kontakty z wystawcami, których działalność powiązana była z rolnictwem i którzy mogli być zainteresowani partnerstwem w SIR. Zrealizowano 5 operacji z planu operacyjnego w których wzieło udział 521 osób.       
W 2017 roku  odbył się:  Wykład przeprowadzony na Spotkaniach Sadowniczych 25.01. dotyczącego programu "Współpraca" dla około 1000 osób.  Przeprowadzono 5 szkoleń dla 145 osób podczas których przybliżano cele, zadania i działania SIR.  Zorganizowano również 9 spotkań szkoleniowych dla 54 osób na których omawiano wsparcie tworzenia i organizacji potencjalnych grup operacyjnych na rzecz innowacji oraz opracowanie przez nie projektów na terenie województwa.  Zorganizowano też szkolenia na których poruszano zagadnienia związane z przygotowaniem i realizacją operacji w ramach dwuletnich planów operacji i w ramach działania współpraca.  – 5 szkoleń dla 98 osób, wykład na konferencji dla 60 osób .   Sporządzano stoiska informacyjne ŚODR i SIR na:  26 Spotkaniach Sadowniczych w Sandomierzu, Targach Pracy i edukacji organizowanych przez Urząd Pracy, Wystawie DOD w Modliszewicach, dożynkach powiatu sandomierskiego, dożynkach wojewódzkich, Targach HORTI-TECH .  
Zrealizowano trzy operacje w ramach których na 6 szkoleniach przeszkolono 233 osoby.
</t>
  </si>
  <si>
    <t>Wykład przeprowadzony na Spotkaniach Sadowniczych 25.01. 2017dotyczącego programu "Współpraca" dla około 1000 osób - wykład o charakterze otwartym - uczestniczyli chętni odwiedzający konferencję  "Spotkania Sadownicze".</t>
  </si>
  <si>
    <t>Liczba odsłon wszystkich zakładek i zamieszczonych informacji - 6864</t>
  </si>
  <si>
    <t xml:space="preserve">Artykuły w Aktualnościach rolniczych - 8 artykułów. 
Sporządzono 34 artykułów/informacji zamieszczane na stronach internetowych ŚODR Modliszewice 
Rok 2017  Napisano Informacja na stronę internetową www.sodr.pl „26 Spotkania Sadownicze-Innowacyjne rozwiązania w sadownictwie”,         e) Miesięcznik „Aktualności Rolnicze” artykuł „Inkubator przetwórczy w Dwikozach”                      W 2017 sporządzono 25 artykułów/wpisów na stronę internetową zakładka SIR. </t>
  </si>
  <si>
    <t xml:space="preserve">W 2016 roku Udzielono wywiadu do Radia Kielce na temat:  
• ”Wdrażanie programu Współpraca” 
• „Informacje nt. SIR i innowacji w rolnictwie, możliwości finansowania”.                                                    
W 2017 roku udzielono 2  wywiadów do Radia Kielce na  temat Porgramu "Współpraca", udzielono wywiadu do telewizji na temat działania programu " Współpraca" 
</t>
  </si>
  <si>
    <r>
      <rPr>
        <sz val="10"/>
        <rFont val="Calibri"/>
        <family val="2"/>
        <charset val="238"/>
      </rPr>
      <t>Przesłanie informacji do Bazy danych innowacyjnych rozwiązań w rolnictwie, leśnictwie i na obszarach wiejskich do CDR. 
Wysłano cztery informacje:
• Wprowadzenie do uprawy nowej odmiany bobiku Amulet
• Wprowadzenie do uprawy nowej odmiany pszenicy ozimej MEMORY
• Wprowadzenie do uprawy nowej odmiany pszenżyta  ozimego KWS TRISOL
• Wprowadzenie do uprawy nowej odmiany rzepaku  ozimego Marathon</t>
    </r>
    <r>
      <rPr>
        <sz val="10"/>
        <color indexed="11"/>
        <rFont val="Calibri"/>
        <family val="2"/>
        <charset val="238"/>
      </rPr>
      <t xml:space="preserve">
</t>
    </r>
  </si>
  <si>
    <r>
      <rPr>
        <sz val="9"/>
        <color theme="1"/>
        <rFont val="Calibri"/>
        <family val="2"/>
        <charset val="238"/>
        <scheme val="minor"/>
      </rPr>
      <t>Koszty funkcjonowania obejmują:                                       
 1. Wynagrodzenia</t>
    </r>
    <r>
      <rPr>
        <sz val="11"/>
        <color theme="1"/>
        <rFont val="Calibri"/>
        <family val="2"/>
        <charset val="238"/>
        <scheme val="minor"/>
      </rPr>
      <t xml:space="preserve"> pracowników, którzy w ramach zadań SIR:                           - promowali SIR na targach i </t>
    </r>
    <r>
      <rPr>
        <sz val="9"/>
        <color theme="1"/>
        <rFont val="Calibri"/>
        <family val="2"/>
        <charset val="238"/>
        <scheme val="minor"/>
      </rPr>
      <t xml:space="preserve">wystawach oraz organizowali spotkania informacyjne
- stworzyli i rozdysponowali materiały promocyjne SIR (baner i ulotka)
- uczestniczyli w szkoleniach, konferencjach organizowanych przez CDR dotyczących SIR
- udzielali informacji dotyczących SIR i innowacji dla potencjalnych pratnerów grup operacyjnych
- brali udział w planowaniu operacji własnych w ramach planu operacyjnego na lata 2016-2017
2. Wyjazdy służbowe - uczestnictwo w szkolenich CDR i wyjazdach na wystawy i targi
3. Dostosowanie biura na potrzeby funcjonowania SIR w siedzibie Ośrodka (remont biura, zakup mebli, sprzętu komputerowego i multimedialnego, zakup materiałów biurowych)                  Rok 2016 koszty związane z planm działania obejmują organizację 5 operacji, koszty funkcjonowania obejmują 1. Wynagrodzenia pracowników, którzy w ramach zadań SIR:                           - promowali SIR na targach i wystawach oraz organizowali spotkania informacyjne
- stworzyli i rozdysponowali materiały promocyjne SIR (baner i ulotka)
- uczestniczyli w szkoleniach, konferencjach organizowanych przez CDR dotyczących SIR
- udzielali informacji dotyczących SIR i innowacji dla potencjalnych pratnerów grup operacyjnych
- brali udział w planowaniu operacji własnych w ramach planu operacyjnego na lata 2016-2017
2. Wyjazdy służbowe - uczestnictwo w szkolenich CDR i wyjazdach na wystawy i targi </t>
    </r>
  </si>
  <si>
    <t>tonery delegacje materiały promocyjne (m.in. roll-up, ścianki wystawiennicze zakupione w ramach PK 2016) podnoszenie kwalifikacji parcowników JR KSOW organizacja spotkań z partnerami KSOW sprzęt informatyczny wynajem pomieszczeń wynagrodzenia pracowników JR KSOW</t>
  </si>
  <si>
    <t xml:space="preserve">Ministerstwo Rolnictwa i Rozwoju Wsi </t>
  </si>
  <si>
    <t>Organizacja 27 jednodniowych szkoleń dot. efektów PROW 2007-2013 oraz PROW 2014-2020, spotkanie informacyjne "Transfer wiedzy i działalność informacyjna PROW 2014-2020", impreza wystawiennicza z udziałem szkół rolniczych prowadoznych przez MRiRW w zakresie promowania PROW 2014-2020, 5 imrez targowych (Siedlce, Bednary, Częstochowa, Spała, Natura Food), spotkanie informacyne dot. PROW w ramach Krajowego Kongeru Rolnictwa RP Konferencja dla kadry zarządzającej ZSCKR z wyjazdem studyjnym, Konferencja dla dyrektorów szkół rolniczych w zakresie działań info-promo PROW, konferencja dot. prezentacji i promocji innowacyjnych rozwiązań technologicznych oraz metod produkcji, szkolenie nt rozpoznawania i monitoringu agrofagów, podsumowanie konkursu na najlepsze czasopismo wydawniczeObszar tematyczny: Promocja zrównoważonego rozwoju obszarów wiejskich (operacja: Organizacja XL oraz XLI Ogólnopolskiego Konkursu Jakości Prac Scaleniowych promującego doświadczenia i najlepsze stosowane praktyki)  Spotkanie dotyczące doświadczeń europejskich we wdrażaniu podejścia Leader i RLKS w dniu 09.06.2016 r. dwa wydarzenia - "Transfer wiedzy i działalność informacyjna" (spotkanie z nauczycielami szkół rolniczych MRiRW oraz spotkanie podczas Sierpeckich Dni Rolnika w Studzieńcu).
Spotkanie podczas Sierpeckich Dni Rolnika w Studzieńcu miało charakter regionalny.
Spotkanie z nauczycielami ze szkół prowadzonych przez MRiRW miało charakter ogólnopolski. 6 wydarzeń:
1) Konferencja dla dyrektorów szkół rolniczych prowadzonych przez MRiRW oraz dyrektora KCER dot. PROW 2014-2020;
2) Olimpiady Wierdzy i Umiejętności dla uczniów szkół ponadgimnazjalnych. (2 olimpiady: Olimpiada Wiedzy o Żźywieniu i Żywności i Olimpiada Wiedzy i Umiętności Rolniczych)
3) projekt o zasięgu międzynarodowym - VIII Miedzynarodowe Targi Turytyki Wiejskiej i Agroturytyki AGROTRAVEL (8-10 kwietnia 2016 r.), w tym Międzynarodowy panel dyskusyjny w ramach Forum Turystyki Wiejskiej i Agroturystyki pt.: Miejsce turystyki wiejskiej w nowoczesnej gospodarce. (zakres tematyczny mieszany)
4) Wizyta studyjna AGROTRIP (priorytet 6 i 8 - Promowanie włączenia społecznego, zmniejszenia ubóstwa oraz rozwoju gospodarczego na obszarach wiejskich
Promowanie efektywnego gospodarowania zasobami i wspieranie przechodzenia w sektorach rolnym, spożywczym i leśnym na gospodarkę niskoemisyjną i odporną na zmianę klimatu.)
5) Stoisko "Odpoczywaj na wsi" (priorytet 6 i 8 - jak wyżej) 1. Konkurs "Sposób na sukces" 2. Konkurs na najlepsze wydawnictwo ODR cztery spotkania łącznie, w tym: (1)  jedno spotkanie dla działania  organizacja spotkań informacyjnych dla kadry kierowniczej instytutów naukowo-badawczych podległych Ministrowi Rolnictwa i Rozwoju Wsi ; (2) trzy spotkania dla działania -Organizacja cyklu wizyt doradców rolniczych w instytutach naukowo-badawczych Targi AgroPark w Lublinie, targi Agrotech w Kielcach, Regionalna Wystawa Zwierząt Hodowlanych w Szepietowie, targi Agrotech w Minikowie, Krajowa Wystawa Rolnicza oraz Dożynki Jasnogórskie w Częstochowie, Dni z Doradztwem Rolniczym w Siedlcach, Dożynki Prezydenckie w Spale, targi AGROSHOW w Bednarach. projekt o zasięgu miedzynarodowym - Targi Grune Woche w Berlinie, projekt o zasięgu miedzynarodowym - Targi BioFach w Norymberdze, Targi Natura Food w Łodzi, Finał V edycji ogólnopolskiego konkursu dla szkół gastronomicznych Krajowy Kongres Rolnictwa Rzeczypospolitej Polskiej1) Upowszechnianie wiedzy w zakresie systemów jakości zywności (konferencja i konkurs)
2) Z pola do Garnka - współpraca rolników ekologicznych w skracaniu łańcucha dostaw (szkolenia, wyjazdy studyjne)
3) Zespół ekspertów na rzecz wymogów ochrony środowiska i zmian klimatu (szkolenia)
4) Kierunek rozwój (konferencja)
5) Ekolider.pl LGD dla zrównoważonego rozwoju. Środowisko, klimat, ekoinnowacje w operacjach RLKS (konkurs 1, szkolenie 10, wyjazd studyjny 3)
6) Wyjazd studyjny do Portugalii w celu wymiany wiedzy z zakresu klęsk żywiołowych ze szczególnym uwzględnieniem suszy
7) Międzynarodowe warsztaty nt. ubustwa i wykluczenia na wsi (szkolenie, wyjazd studyjny)
8) Rolniczy Handel Detalicxzny ważnym elementem zrównoważonego rozwoju obszarów wiejskich (4 konferencje)
9) Zrównoważony rozwój regionu w oparciu o certyfikowane produkty tradycyjne (wyjazd studyjny, konferencja)
10) Puls wsi, czyli partycypacja umacnia lokalną synergię wsi (seminarium-3, konferencja-1)
11) Wyjazd studyjny-od bacówki do fabryki, dobre praktyki (wyjazd studyjny)
12) Sieci współpracy w turystyce wiejskiej - stan obecny i nowe wyzwania (konferencja) 
13) Zwiększenie efektywności doradztwa we wspieraniu innowacyjności w rolnictwie (konferencja)
14) Komercjalizacja działalności LGD formą budowy potencjału organizacyjnego (szkolenie)
15) Gospodarstwa opikuńcze - rozwijanie usług społecznych na obszarach wiejskich (szkolenia 16)
16) Przyróćmy Wisłę mieszkańcom obszarów wiejskich (szkolenie -4, wyjazd studyjny -4)
17) WPR po 2020 r.  (konferencje -4)
18) Upowszechnianie dobrych praktyk w farmerskiej produkcji sera (seminaria-13 dla PLW oraz dla doradców rolniczych, producentów, LGD, przedstawicieli organizacji pozarządowych)
1) 2 Jednodniowe konferencje nt. rezultatów realizacji PROW 2014-2020 z uwzględnieniem doświadczeń z perspektywy 2007-2013 oraz punkt informacyjny/doradczy (DROW)
2) "Transfer wiedzy i działalność informacyjna" (2 spotkania Spotkania podczas Sierpeckich Dni Rolnika w Studzieńcu miały charakter regionalny. Spotkania z nauczycielami ze szkół prowadzonych przez Ministra Rolnictwa i Rozwoju Wsi miały charakter krajowy). (SSO)
3) Organizacja konkursów promujących i informujących o PROW 2014-2020 (konkurs Sposób na sukces oraz na najlepsze wydwnictwo ODR) (SAR)
RR
 Targi AgroPark w Lublinie, Międzynarodowe Targi Techniki Rolniczej AGROTECH w Kielcach, Regionalna Wystawa Zwierząt Hodowlanych w Szepietowie, XXVI Krajowa Wystawa Rolnicza oraz Ogólnopolskie Dożynki Jasnogórskie w Częstochowie, Dożynki Prezydenckie w Spale,  XL Międzynarodowe Targi Rolno-Przemysłowe AGRO-TECH połączone z Regionalną Wystawą Zwierząt Hodowlanych w Minikowie, XXIV Regionalna Wystawa Zwierząt Hodowlanych i Dni z Doradztwem Rolniczym w Szepietowie, Międzynarodowa Wystawy Rolniczej AGRO SHOW w Bednarach, XXIX Międzynarodowe Dni z Doradztwem Rolniczym połączone z XIII Regionalną Wystawą Zwierząt Hodowlanych w Siedlcach.
Seminaria/szkolenia/spotkania/konferencje informacyjne nt.  Systemu Chronionych Nazw Pochodzenia, Chronionych Oznaczeń Geograficznych oraz Gwarantowanych Tradycyjnych Specjalności w celu przedstawienia działań wspierających ten sektor w ramach PROW 2014-2020DGZ
1. Obszar tematyczny: Promocja zrównoważonego rozwoju Obszarów Wiejskich  (operacja: XLI Ogólnopolskiego Konkursu Jakości Prac Scaleniowych promujacego doświadczenia i najlepsze stosowane praktyki)
SSO
1) "Olimpiada Wiedzy i Umiejętności Rolniczych" (zakup nagród rzeczowych dla laureatów);
2) "Olimpiada Wiedzy o Żywieniu i Żywności" (zakup nagród rzeczowych dla laureatów);
3)  Cykl konferencji dla dyrektorów szkół rolniczych prowadzonych przez Ministra Rolnictwa i Rozwoju Wsi dot. RPOW 2014-2020 ( 2 konferencje)
4) 8 seminariów pod nazwą: Integracja środowiska turystyki wiejskiej i agroturystyki z przedstawicielami branży turystycznej (priotytet 5 i 6);
5) organizacja stoiska "Odpoczywaj na wsi" na 8 imprezach targowo-plenerowych (priotytet 5 i 6)
6) organizacja stoiska "Odpoczywaj na wsi" na targach ITB w Berlinie  (piorytet 6 z naciskiem na promowanie rozwoju gospodarczego na obszarach wiejskich)
7) Liderki społeczności wiejskiej w procesach rozwoju lokalnego - (40 jednodniowych szkoleń)
SAR
1) 1 seminarium dla kadry zarządzajacej instytutów badawczych i jednostek doradztwa rolniczego, 
2) 2 wizyty doradców rolniczych w instytutach naukowo-badawczych, 
3) 2 spotkania informacyjne dla kadry zarządzajacej jednostkami doradztwa rolniczego
RR
4 wydarzenia: 
- Targi Grune Woche w Berlinie;
- Targi BioFch w Norymberdze;
-Targi Natura Food w Łodzi;
- Finał VI edycji ogólnopolskiego konkursu dla szkół gastronomicznych
Obszar tematyczny : Seminarium podsumowujące ZXL Ogólnopolski Konkurs Jakości Prac Scaleniowych</t>
  </si>
  <si>
    <t>Jednostka Centralna</t>
  </si>
  <si>
    <t xml:space="preserve">turystyka wiejska oraz edukacja w gospodarstwie rolnym - rozwoj sieci zagród edukacyjnych; prawne aspekty funkcjonowania samorządu terytorialnego, działaność wiejskich organizacji kobiecych. </t>
  </si>
  <si>
    <t>aplikacja - Agroturystyka wieś polska zaprasza; www.ksow.pl</t>
  </si>
  <si>
    <t>20 z CDR Kraków, 20 z CIE, 5 JC</t>
  </si>
  <si>
    <t>2 GR.  ds. KSOW, 3 GTL, 1 GTI, tryb obiegowy GR ds. KSOW 2X 26.07.2017, 2X 29.09.2017, GTL 6.03.2017, 20.06.2017; 18.12.2017, GTI 18.12.2017</t>
  </si>
  <si>
    <t>Zespól roboczy ds.proceduralnych przy GTL, spotkanie zespołu roboczego ds. KSOW 5.07.2017 w sprawie Planu działania KSOW 2014-2020</t>
  </si>
  <si>
    <t>grupa dyskusyjna LGD na Facebooku</t>
  </si>
  <si>
    <t>informacje: Rural efficiency in the Polish RDP, dobre praktyki: 1.Szkolenie na temat małej retencji-WODR woj.łodzkie, 2.Wymiana doświadczeń na temat higieny i bezpieczeństwa żywności w przetwórstwie żywności na małą skalę-JR KSOW woj podlaskiego, 3.Wykorzystanie Pomocy Technicznej do organizacji wyjazdu studyjnego do Szkocji w dziedzinie rolnictwa ekologicznego-JR KSOW woj.Slaskiego, 4.Stworzenie marki kulinarnej i kulturalnej Doliny Wisły-Tłok, 5.Promocja tradycyjnych produktów żywnosciowych na Mazowszu-LGD Razem dla Radomki, 6.My place-Centrum Inicjatyw Edukacyjnych, 7.projekt SEMPRE-Fundacja PERITIA, 8.GTL., 9.Muzeum ksiązki kucharskiej i kulinarnej-LGD Dolina Raby, 10. Inkubator kuchenny w Zakrzowie, Inne: 1.ankieta ENRD disseminarion survey 2017, 2.uaktualnienie zadań FAPA i SIR oraz profilu sieci, 3.ankieta approaches to regionalised networking, 4.WSŚ, 5. survey on NRN's support to RDP evaluation, 6.Rural Networks' self-assessment questionnaire</t>
  </si>
  <si>
    <r>
      <t>Przetłumaczone:, deklaracja ELARD i nota prasowa ELARD, relacja z Social Hubs, relacja z seminarium 30.03.2017, informacja o seminarium 13.06.2017, 3 relacje z seminarium 13.06.2017, relacja ze spotkania GT 3-5.05.2017, info z Walnego Zebrania ELARD, relacja z Parlamentu Wiejskiego Vernhorst, relacja ze spotkania GT Smart Villages 7.12.2017. upowszechnione: 1 dobra praktyka LGD Razem dla Radomki opublikowana na facebooku, Cork; EIP-AGRI W czym możemy pomóc?, EIP-AGRI -2 publikacje,  krótkie łańcuchy dostaw żywności EIP-AGRI, poszukiwanie ekspertów do grup fokusowych EIP-AGRI, EU Action for Smart Villages, oczekiwane rezultaty PROW w UE, Inicjatywa na rzecz poprawy funkcjonowania łańcucha dostaw zywnosci, Wyniki konsultacji publicznych w sprawie modernizacji i uproszczenia WPR, magazyn Rural Connections, Rural Evaluations News, 2 broszury ENRD o przykładowych projektach (przedsiębiorczość i ekologia), 2 Przeglądy Obszarów Wiejskich (Przedsiebiorczośc na wsi i Gospodarka Ekologiczna), Pathways to LEADER, Evaluation of LEADER/CLLD, Debate on the future of agriculture, 12 ENRD Newsletter.</t>
    </r>
    <r>
      <rPr>
        <sz val="10"/>
        <color rgb="FFFF0000"/>
        <rFont val="Calibri"/>
        <family val="2"/>
        <charset val="238"/>
        <scheme val="minor"/>
      </rPr>
      <t xml:space="preserve"> </t>
    </r>
  </si>
  <si>
    <t>5 ofert z Polski wizyt studyjnych dla estonskich LGD, 4 oferty wspolpracy z Polski, 1 oferta z Estonii, 1 oferta z Litwy, 4 oferty z Łotwy, 3 oferty z Finlandii, dla Chorwackiej sieci LEADER, dla Rumuńskiej sieci, dla Wegierskiej Sieci, dla Stowarzyszenia LEADER France, 13 ofert LGD na spotkanie w Paryżu; ankieta z Hiszpani dot. turystyki wiejskiej LGD, oferta z LGD z Polski podczas LINC, dla Estońskiej sieci 2 oferty LGD z Polski (producent cydru, Stowarzyszenie Korona Północnego Krakowa),  8 ofert z Polski prezentowanych na Litwie,  propozycja współpracy z tureckim LGD, projekt współpracy z Polski prezentowany na Litwie, LEADERFEST w Czechach z udziałem 9 LGD z Polski, Walne zebranie ELARD, spotkanie nordycko-bałtyckiej sieci w Wilnie 15.09.2017, konkurs na najlepsze praktyki w ramach nordycko-bałtyckiej wspólpracy, spotkanie w Paryżu dla LGD, udział 1 osoby w wyjezdzie studyjnym na Węgrzech, udział 2 osob w wizycie studyjnej na Litwie</t>
  </si>
  <si>
    <t>wynagrodzenia z pochodnymi, materiały, usługi obce, wartości niematerialne i prawne, koszty bezpośrednie, współpraca z ENRD</t>
  </si>
  <si>
    <t>Zestawienie zbiorcze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</si>
</sst>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zł&quot;#,##0.00_);[Red]\(&quot;zł&quot;#,##0.00\)"/>
    <numFmt numFmtId="165" formatCode="_(&quot;zł&quot;* #,##0.00_);_(&quot;zł&quot;* \(#,##0.00\);_(&quot;zł&quot;* &quot;-&quot;??_);_(@_)"/>
    <numFmt numFmtId="166" formatCode="_(* #,##0.00_);_(* \(#,##0.00\);_(* &quot;-&quot;??_);_(@_)"/>
    <numFmt numFmtId="167" formatCode="[$-415]General"/>
    <numFmt numFmtId="168" formatCode="#,##0.00\ _z_ł"/>
  </numFmts>
  <fonts count="183">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24"/>
      <color indexed="8"/>
      <name val="Calibri"/>
      <family val="2"/>
    </font>
    <font>
      <b/>
      <u/>
      <sz val="14"/>
      <color indexed="8"/>
      <name val="Calibri"/>
      <family val="2"/>
      <charset val="238"/>
    </font>
    <font>
      <sz val="12"/>
      <color indexed="8"/>
      <name val="Calibri"/>
      <family val="2"/>
      <charset val="238"/>
    </font>
    <font>
      <b/>
      <u/>
      <sz val="12"/>
      <color indexed="8"/>
      <name val="Calibri"/>
      <family val="2"/>
      <charset val="238"/>
    </font>
    <font>
      <sz val="12"/>
      <color indexed="8"/>
      <name val="Calibri"/>
      <family val="2"/>
    </font>
    <font>
      <i/>
      <sz val="12"/>
      <color indexed="8"/>
      <name val="Calibri"/>
      <family val="2"/>
      <charset val="238"/>
    </font>
    <font>
      <b/>
      <sz val="12"/>
      <color indexed="8"/>
      <name val="Calibri"/>
      <family val="2"/>
    </font>
    <font>
      <b/>
      <sz val="16"/>
      <color indexed="8"/>
      <name val="Calibri"/>
      <family val="2"/>
    </font>
    <font>
      <b/>
      <sz val="14"/>
      <color indexed="8"/>
      <name val="Calibri"/>
      <family val="2"/>
    </font>
    <font>
      <b/>
      <sz val="11"/>
      <color indexed="8"/>
      <name val="Calibri"/>
      <family val="2"/>
    </font>
    <font>
      <b/>
      <sz val="11"/>
      <color indexed="8"/>
      <name val="Calibri"/>
      <family val="2"/>
      <charset val="238"/>
    </font>
    <font>
      <sz val="10"/>
      <color indexed="8"/>
      <name val="Calibri"/>
      <family val="2"/>
    </font>
    <font>
      <b/>
      <sz val="10"/>
      <color indexed="8"/>
      <name val="Calibri"/>
      <family val="2"/>
    </font>
    <font>
      <i/>
      <sz val="10"/>
      <color indexed="8"/>
      <name val="Calibri"/>
      <family val="2"/>
      <charset val="238"/>
    </font>
    <font>
      <sz val="10"/>
      <color indexed="8"/>
      <name val="Calibri"/>
      <family val="2"/>
      <charset val="238"/>
    </font>
    <font>
      <b/>
      <sz val="10"/>
      <color indexed="18"/>
      <name val="Calibri"/>
      <family val="2"/>
      <charset val="238"/>
    </font>
    <font>
      <u/>
      <sz val="10"/>
      <color indexed="8"/>
      <name val="Calibri"/>
      <family val="2"/>
      <charset val="238"/>
    </font>
    <font>
      <sz val="10"/>
      <name val="Calibri"/>
      <family val="2"/>
      <charset val="238"/>
    </font>
    <font>
      <u/>
      <sz val="10"/>
      <name val="Calibri"/>
      <family val="2"/>
      <charset val="238"/>
    </font>
    <font>
      <b/>
      <sz val="10"/>
      <name val="Calibri"/>
      <family val="2"/>
      <charset val="238"/>
    </font>
    <font>
      <b/>
      <sz val="14"/>
      <color indexed="8"/>
      <name val="Calibri"/>
      <family val="2"/>
      <charset val="238"/>
    </font>
    <font>
      <b/>
      <sz val="10"/>
      <color indexed="60"/>
      <name val="Calibri"/>
      <family val="2"/>
      <charset val="238"/>
    </font>
    <font>
      <sz val="11"/>
      <color indexed="8"/>
      <name val="Calibri"/>
      <family val="2"/>
    </font>
    <font>
      <b/>
      <sz val="14"/>
      <color theme="1"/>
      <name val="Calibri"/>
      <family val="2"/>
      <scheme val="minor"/>
    </font>
    <font>
      <sz val="10"/>
      <color theme="1"/>
      <name val="Calibri"/>
      <family val="2"/>
      <scheme val="minor"/>
    </font>
    <font>
      <b/>
      <sz val="10"/>
      <color theme="1"/>
      <name val="Calibri"/>
      <family val="2"/>
      <scheme val="minor"/>
    </font>
    <font>
      <i/>
      <sz val="10"/>
      <color theme="1"/>
      <name val="Calibri"/>
      <family val="2"/>
      <charset val="238"/>
      <scheme val="minor"/>
    </font>
    <font>
      <sz val="10"/>
      <color theme="1"/>
      <name val="Calibri"/>
      <family val="2"/>
      <charset val="238"/>
      <scheme val="minor"/>
    </font>
    <font>
      <u/>
      <sz val="10"/>
      <color indexed="8"/>
      <name val="Calibri"/>
      <family val="2"/>
    </font>
    <font>
      <sz val="11"/>
      <color rgb="FF000000"/>
      <name val="Calibri"/>
      <family val="2"/>
      <scheme val="minor"/>
    </font>
    <font>
      <b/>
      <sz val="11"/>
      <color theme="1"/>
      <name val="Calibri"/>
      <family val="2"/>
      <scheme val="minor"/>
    </font>
    <font>
      <sz val="16"/>
      <color indexed="8"/>
      <name val="Calibri"/>
      <family val="2"/>
    </font>
    <font>
      <b/>
      <sz val="12"/>
      <color indexed="8"/>
      <name val="Calibri"/>
      <family val="2"/>
      <charset val="238"/>
    </font>
    <font>
      <b/>
      <sz val="10"/>
      <color indexed="8"/>
      <name val="Calibri"/>
      <family val="2"/>
      <charset val="238"/>
    </font>
    <font>
      <sz val="10"/>
      <color indexed="11"/>
      <name val="Calibri"/>
      <family val="2"/>
      <charset val="238"/>
    </font>
    <font>
      <sz val="9"/>
      <color theme="1"/>
      <name val="Calibri"/>
      <family val="2"/>
      <scheme val="minor"/>
    </font>
    <font>
      <b/>
      <sz val="10"/>
      <color indexed="28"/>
      <name val="Calibri"/>
      <family val="2"/>
      <charset val="238"/>
    </font>
    <font>
      <b/>
      <sz val="16"/>
      <color theme="1"/>
      <name val="Calibri"/>
      <family val="2"/>
      <scheme val="minor"/>
    </font>
    <font>
      <b/>
      <sz val="10"/>
      <color indexed="54"/>
      <name val="Calibri"/>
      <family val="2"/>
      <charset val="238"/>
    </font>
    <font>
      <b/>
      <sz val="10"/>
      <color indexed="17"/>
      <name val="Calibri"/>
      <family val="2"/>
      <charset val="238"/>
    </font>
    <font>
      <sz val="10"/>
      <color indexed="28"/>
      <name val="Calibri"/>
      <family val="2"/>
      <charset val="238"/>
    </font>
    <font>
      <u/>
      <sz val="10"/>
      <color indexed="28"/>
      <name val="Calibri"/>
      <family val="2"/>
      <charset val="238"/>
    </font>
    <font>
      <b/>
      <sz val="14"/>
      <color theme="1"/>
      <name val="Calibri"/>
      <family val="2"/>
      <charset val="238"/>
      <scheme val="minor"/>
    </font>
    <font>
      <b/>
      <sz val="10"/>
      <color indexed="49"/>
      <name val="Calibri"/>
      <family val="2"/>
    </font>
    <font>
      <sz val="10"/>
      <color indexed="49"/>
      <name val="Calibri"/>
      <family val="2"/>
    </font>
    <font>
      <b/>
      <sz val="10"/>
      <color indexed="53"/>
      <name val="Calibri"/>
      <family val="2"/>
    </font>
    <font>
      <sz val="10"/>
      <color indexed="53"/>
      <name val="Calibri"/>
      <family val="2"/>
    </font>
    <font>
      <b/>
      <sz val="22"/>
      <color indexed="8"/>
      <name val="Calibri"/>
      <family val="2"/>
    </font>
    <font>
      <sz val="22"/>
      <color theme="1"/>
      <name val="Calibri"/>
      <family val="2"/>
      <scheme val="minor"/>
    </font>
    <font>
      <sz val="10"/>
      <color theme="1"/>
      <name val="Calibri"/>
      <family val="2"/>
      <charset val="238"/>
    </font>
    <font>
      <b/>
      <sz val="10"/>
      <color theme="1"/>
      <name val="Calibri"/>
      <family val="2"/>
      <charset val="238"/>
    </font>
    <font>
      <sz val="11"/>
      <name val="Calibri"/>
      <family val="2"/>
      <scheme val="minor"/>
    </font>
    <font>
      <sz val="11"/>
      <color rgb="FFFF0000"/>
      <name val="Calibri"/>
      <family val="2"/>
      <scheme val="minor"/>
    </font>
    <font>
      <sz val="11"/>
      <color theme="1"/>
      <name val="Calibri"/>
      <family val="2"/>
      <scheme val="minor"/>
    </font>
    <font>
      <b/>
      <sz val="14"/>
      <color theme="1"/>
      <name val="Calibri"/>
      <family val="2"/>
    </font>
    <font>
      <sz val="10"/>
      <color theme="1"/>
      <name val="Calibri"/>
      <family val="2"/>
    </font>
    <font>
      <sz val="11"/>
      <color theme="1"/>
      <name val="Calibri"/>
      <family val="2"/>
    </font>
    <font>
      <b/>
      <sz val="11"/>
      <color theme="1"/>
      <name val="Calibri"/>
      <family val="2"/>
    </font>
    <font>
      <b/>
      <sz val="10"/>
      <color theme="1"/>
      <name val="Calibri"/>
      <family val="2"/>
      <charset val="238"/>
      <scheme val="minor"/>
    </font>
    <font>
      <sz val="11"/>
      <color theme="1"/>
      <name val="Calibri"/>
      <family val="2"/>
      <charset val="238"/>
    </font>
    <font>
      <b/>
      <sz val="11"/>
      <color theme="1"/>
      <name val="Calibri"/>
      <family val="2"/>
      <charset val="238"/>
    </font>
    <font>
      <sz val="11"/>
      <name val="Calibri"/>
      <family val="2"/>
      <charset val="238"/>
      <scheme val="minor"/>
    </font>
    <font>
      <b/>
      <sz val="12"/>
      <color theme="1"/>
      <name val="Calibri"/>
      <family val="2"/>
      <charset val="238"/>
      <scheme val="minor"/>
    </font>
    <font>
      <sz val="11"/>
      <name val="Calibri"/>
      <family val="2"/>
    </font>
    <font>
      <b/>
      <sz val="11"/>
      <name val="Calibri"/>
      <family val="2"/>
    </font>
    <font>
      <sz val="10"/>
      <name val="Calibri Light"/>
      <family val="1"/>
      <charset val="238"/>
      <scheme val="major"/>
    </font>
    <font>
      <sz val="10"/>
      <name val="Cambria"/>
      <family val="1"/>
      <charset val="238"/>
    </font>
    <font>
      <b/>
      <sz val="9"/>
      <color indexed="81"/>
      <name val="Tahoma"/>
      <family val="2"/>
      <charset val="238"/>
    </font>
    <font>
      <sz val="9"/>
      <color indexed="81"/>
      <name val="Tahoma"/>
      <family val="2"/>
      <charset val="238"/>
    </font>
    <font>
      <sz val="11"/>
      <color rgb="FF000000"/>
      <name val="Calibri"/>
      <family val="2"/>
      <charset val="238"/>
      <scheme val="minor"/>
    </font>
    <font>
      <sz val="10"/>
      <color rgb="FFFF0000"/>
      <name val="Calibri"/>
      <family val="2"/>
      <charset val="238"/>
    </font>
    <font>
      <sz val="11"/>
      <color theme="1" tint="4.9989318521683403E-2"/>
      <name val="Calibri"/>
      <family val="2"/>
      <scheme val="minor"/>
    </font>
    <font>
      <b/>
      <sz val="12"/>
      <color theme="1"/>
      <name val="Calibri"/>
      <family val="2"/>
    </font>
    <font>
      <b/>
      <u/>
      <sz val="11"/>
      <color theme="1"/>
      <name val="Calibri"/>
      <family val="2"/>
      <charset val="238"/>
      <scheme val="minor"/>
    </font>
    <font>
      <u/>
      <sz val="11"/>
      <color theme="1"/>
      <name val="Calibri"/>
      <family val="2"/>
      <charset val="238"/>
      <scheme val="minor"/>
    </font>
    <font>
      <b/>
      <i/>
      <u/>
      <sz val="11"/>
      <color theme="1"/>
      <name val="Calibri"/>
      <family val="2"/>
      <charset val="238"/>
      <scheme val="minor"/>
    </font>
    <font>
      <sz val="8"/>
      <color theme="1"/>
      <name val="Calibri"/>
      <family val="2"/>
      <charset val="238"/>
      <scheme val="minor"/>
    </font>
    <font>
      <b/>
      <u/>
      <sz val="8"/>
      <color theme="1"/>
      <name val="Calibri"/>
      <family val="2"/>
      <charset val="238"/>
      <scheme val="minor"/>
    </font>
    <font>
      <b/>
      <sz val="8"/>
      <color theme="1"/>
      <name val="Calibri"/>
      <family val="2"/>
      <charset val="238"/>
      <scheme val="minor"/>
    </font>
    <font>
      <sz val="8"/>
      <color theme="1"/>
      <name val="Calibri"/>
      <family val="2"/>
      <scheme val="minor"/>
    </font>
    <font>
      <sz val="10"/>
      <name val="Calibri"/>
      <family val="2"/>
      <charset val="238"/>
      <scheme val="minor"/>
    </font>
    <font>
      <b/>
      <sz val="10"/>
      <name val="Calibri"/>
      <family val="2"/>
      <charset val="238"/>
      <scheme val="minor"/>
    </font>
    <font>
      <u/>
      <sz val="10"/>
      <color theme="1"/>
      <name val="Calibri"/>
      <family val="2"/>
      <charset val="238"/>
      <scheme val="minor"/>
    </font>
    <font>
      <b/>
      <sz val="12"/>
      <color indexed="8"/>
      <name val="Arial"/>
      <family val="2"/>
      <charset val="238"/>
    </font>
    <font>
      <sz val="12"/>
      <color theme="1"/>
      <name val="Arial"/>
      <family val="2"/>
      <charset val="238"/>
    </font>
    <font>
      <b/>
      <u/>
      <sz val="12"/>
      <color indexed="8"/>
      <name val="Arial"/>
      <family val="2"/>
      <charset val="238"/>
    </font>
    <font>
      <sz val="12"/>
      <color indexed="8"/>
      <name val="Arial"/>
      <family val="2"/>
      <charset val="238"/>
    </font>
    <font>
      <i/>
      <sz val="12"/>
      <color indexed="8"/>
      <name val="Arial"/>
      <family val="2"/>
      <charset val="238"/>
    </font>
    <font>
      <sz val="12"/>
      <color rgb="FFFF0000"/>
      <name val="Arial"/>
      <family val="2"/>
      <charset val="238"/>
    </font>
    <font>
      <sz val="12"/>
      <name val="Arial"/>
      <family val="2"/>
      <charset val="238"/>
    </font>
    <font>
      <b/>
      <sz val="12"/>
      <color theme="1"/>
      <name val="Arial"/>
      <family val="2"/>
      <charset val="238"/>
    </font>
    <font>
      <i/>
      <sz val="12"/>
      <color theme="1"/>
      <name val="Arial"/>
      <family val="2"/>
      <charset val="238"/>
    </font>
    <font>
      <sz val="12"/>
      <color rgb="FF000000"/>
      <name val="Arial"/>
      <family val="2"/>
      <charset val="238"/>
    </font>
    <font>
      <sz val="12"/>
      <color indexed="11"/>
      <name val="Arial"/>
      <family val="2"/>
      <charset val="238"/>
    </font>
    <font>
      <b/>
      <u/>
      <sz val="10"/>
      <name val="Calibri"/>
      <family val="2"/>
      <charset val="238"/>
    </font>
    <font>
      <b/>
      <u/>
      <sz val="10"/>
      <name val="Calibri"/>
      <family val="2"/>
      <charset val="238"/>
      <scheme val="minor"/>
    </font>
    <font>
      <sz val="10"/>
      <color rgb="FFFF0000"/>
      <name val="Calibri"/>
      <family val="2"/>
      <charset val="238"/>
      <scheme val="minor"/>
    </font>
    <font>
      <b/>
      <sz val="10"/>
      <color rgb="FFFF0000"/>
      <name val="Calibri"/>
      <family val="2"/>
      <charset val="238"/>
      <scheme val="minor"/>
    </font>
    <font>
      <b/>
      <sz val="11"/>
      <name val="Calibri"/>
      <family val="2"/>
      <charset val="238"/>
      <scheme val="minor"/>
    </font>
    <font>
      <b/>
      <sz val="11"/>
      <name val="Calibri"/>
      <family val="2"/>
      <charset val="238"/>
    </font>
    <font>
      <sz val="11"/>
      <name val="Calibri"/>
      <family val="2"/>
      <charset val="238"/>
    </font>
    <font>
      <b/>
      <sz val="14"/>
      <name val="Calibri"/>
      <family val="2"/>
    </font>
    <font>
      <sz val="10"/>
      <name val="Calibri"/>
      <family val="2"/>
    </font>
    <font>
      <b/>
      <sz val="10"/>
      <name val="Calibri"/>
      <family val="2"/>
    </font>
    <font>
      <i/>
      <sz val="10"/>
      <name val="Calibri"/>
      <family val="2"/>
    </font>
    <font>
      <b/>
      <sz val="11"/>
      <name val="Calibri"/>
      <family val="2"/>
      <scheme val="minor"/>
    </font>
    <font>
      <sz val="10"/>
      <color rgb="FFFF0000"/>
      <name val="Calibri"/>
      <family val="2"/>
    </font>
    <font>
      <b/>
      <sz val="16"/>
      <name val="Calibri"/>
      <family val="2"/>
    </font>
    <font>
      <b/>
      <sz val="14"/>
      <name val="Calibri"/>
      <family val="2"/>
      <scheme val="minor"/>
    </font>
    <font>
      <b/>
      <sz val="10"/>
      <name val="Calibri"/>
      <family val="2"/>
      <scheme val="minor"/>
    </font>
    <font>
      <sz val="10"/>
      <name val="Calibri"/>
      <family val="2"/>
      <scheme val="minor"/>
    </font>
    <font>
      <i/>
      <sz val="10"/>
      <name val="Calibri"/>
      <family val="2"/>
      <scheme val="minor"/>
    </font>
    <font>
      <sz val="8"/>
      <name val="Calibri"/>
      <family val="2"/>
    </font>
    <font>
      <sz val="24"/>
      <color rgb="FFFF0000"/>
      <name val="Calibri"/>
      <family val="2"/>
      <charset val="238"/>
    </font>
    <font>
      <b/>
      <sz val="12"/>
      <name val="Calibri"/>
      <family val="2"/>
    </font>
    <font>
      <sz val="12"/>
      <name val="Calibri"/>
      <family val="2"/>
    </font>
    <font>
      <sz val="9"/>
      <name val="Calibri"/>
      <family val="2"/>
      <scheme val="minor"/>
    </font>
    <font>
      <i/>
      <sz val="11"/>
      <name val="Calibri"/>
      <family val="2"/>
      <scheme val="minor"/>
    </font>
    <font>
      <b/>
      <sz val="14"/>
      <name val="Calibri"/>
      <family val="2"/>
      <charset val="238"/>
      <scheme val="minor"/>
    </font>
    <font>
      <b/>
      <sz val="12"/>
      <name val="Calibri"/>
      <family val="2"/>
      <charset val="238"/>
      <scheme val="minor"/>
    </font>
    <font>
      <sz val="8"/>
      <name val="Calibri"/>
      <family val="2"/>
      <scheme val="minor"/>
    </font>
    <font>
      <sz val="11"/>
      <color rgb="FF000000"/>
      <name val="Calibri1"/>
      <charset val="238"/>
    </font>
    <font>
      <b/>
      <sz val="22"/>
      <color rgb="FF000000"/>
      <name val="Calibri"/>
      <family val="2"/>
      <charset val="238"/>
    </font>
    <font>
      <b/>
      <sz val="24"/>
      <color rgb="FF000000"/>
      <name val="Calibri"/>
      <family val="2"/>
      <charset val="238"/>
    </font>
    <font>
      <b/>
      <u/>
      <sz val="14"/>
      <color rgb="FF000000"/>
      <name val="Calibri"/>
      <family val="2"/>
      <charset val="238"/>
    </font>
    <font>
      <sz val="12"/>
      <color rgb="FF000000"/>
      <name val="Calibri"/>
      <family val="2"/>
      <charset val="238"/>
    </font>
    <font>
      <b/>
      <u/>
      <sz val="12"/>
      <color rgb="FF000000"/>
      <name val="Calibri"/>
      <family val="2"/>
      <charset val="238"/>
    </font>
    <font>
      <i/>
      <sz val="12"/>
      <color rgb="FF000000"/>
      <name val="Calibri"/>
      <family val="2"/>
      <charset val="238"/>
    </font>
    <font>
      <b/>
      <sz val="12"/>
      <color rgb="FF000000"/>
      <name val="Calibri"/>
      <family val="2"/>
      <charset val="238"/>
    </font>
    <font>
      <b/>
      <sz val="16"/>
      <color rgb="FF000000"/>
      <name val="Calibri"/>
      <family val="2"/>
      <charset val="238"/>
    </font>
    <font>
      <b/>
      <sz val="14"/>
      <color rgb="FF000000"/>
      <name val="Calibri"/>
      <family val="2"/>
      <charset val="238"/>
    </font>
    <font>
      <b/>
      <sz val="11"/>
      <color rgb="FF000000"/>
      <name val="Calibri"/>
      <family val="2"/>
      <charset val="238"/>
    </font>
    <font>
      <sz val="10"/>
      <color rgb="FF000000"/>
      <name val="Calibri"/>
      <family val="2"/>
      <charset val="238"/>
    </font>
    <font>
      <b/>
      <sz val="10"/>
      <color rgb="FF000000"/>
      <name val="Calibri"/>
      <family val="2"/>
      <charset val="238"/>
    </font>
    <font>
      <i/>
      <sz val="10"/>
      <color rgb="FF000000"/>
      <name val="Calibri"/>
      <family val="2"/>
      <charset val="238"/>
    </font>
    <font>
      <u/>
      <sz val="10"/>
      <color rgb="FF000000"/>
      <name val="Calibri"/>
      <family val="2"/>
      <charset val="238"/>
    </font>
    <font>
      <sz val="11"/>
      <color rgb="FF000000"/>
      <name val="Calibri"/>
      <family val="2"/>
      <charset val="238"/>
    </font>
    <font>
      <sz val="11"/>
      <name val="Calibri1"/>
      <charset val="238"/>
    </font>
    <font>
      <sz val="16"/>
      <color rgb="FF000000"/>
      <name val="Calibri"/>
      <family val="2"/>
      <charset val="238"/>
    </font>
    <font>
      <i/>
      <sz val="10"/>
      <name val="Calibri"/>
      <family val="2"/>
      <charset val="238"/>
    </font>
    <font>
      <i/>
      <u/>
      <sz val="10"/>
      <name val="Calibri"/>
      <family val="2"/>
      <charset val="238"/>
    </font>
    <font>
      <sz val="9"/>
      <color rgb="FF000000"/>
      <name val="Calibri"/>
      <family val="2"/>
      <charset val="238"/>
    </font>
    <font>
      <u/>
      <sz val="10"/>
      <color rgb="FFFF0000"/>
      <name val="Calibri"/>
      <family val="2"/>
      <charset val="238"/>
    </font>
    <font>
      <u/>
      <sz val="11"/>
      <name val="Calibri"/>
      <family val="2"/>
      <charset val="238"/>
      <scheme val="minor"/>
    </font>
    <font>
      <u/>
      <sz val="10"/>
      <color theme="1"/>
      <name val="Calibri"/>
      <family val="2"/>
      <charset val="238"/>
    </font>
    <font>
      <i/>
      <sz val="10"/>
      <color theme="1"/>
      <name val="Calibri"/>
      <family val="2"/>
      <charset val="238"/>
    </font>
    <font>
      <sz val="9"/>
      <name val="Calibri1"/>
      <charset val="238"/>
    </font>
    <font>
      <u/>
      <sz val="9"/>
      <name val="Calibri1"/>
      <charset val="238"/>
    </font>
    <font>
      <sz val="9"/>
      <color rgb="FFFF0000"/>
      <name val="Calibri1"/>
      <charset val="238"/>
    </font>
    <font>
      <sz val="9"/>
      <color rgb="FF000000"/>
      <name val="Calibri1"/>
      <charset val="238"/>
    </font>
    <font>
      <b/>
      <sz val="11"/>
      <color rgb="FFFF0000"/>
      <name val="Calibri"/>
      <family val="2"/>
      <charset val="238"/>
    </font>
    <font>
      <sz val="11"/>
      <color rgb="FFFF0000"/>
      <name val="Calibri"/>
      <family val="2"/>
    </font>
    <font>
      <sz val="15"/>
      <color theme="1"/>
      <name val="Calibri"/>
      <family val="2"/>
      <charset val="238"/>
      <scheme val="minor"/>
    </font>
    <font>
      <b/>
      <sz val="15"/>
      <color theme="1"/>
      <name val="Calibri"/>
      <family val="2"/>
      <charset val="238"/>
      <scheme val="minor"/>
    </font>
    <font>
      <b/>
      <sz val="10"/>
      <color rgb="FFFF0000"/>
      <name val="Calibri"/>
      <family val="2"/>
      <charset val="238"/>
    </font>
    <font>
      <sz val="10"/>
      <color rgb="FFC00000"/>
      <name val="Calibri"/>
      <family val="2"/>
      <charset val="238"/>
      <scheme val="minor"/>
    </font>
    <font>
      <sz val="11"/>
      <color indexed="8"/>
      <name val="Calibri"/>
      <family val="2"/>
      <charset val="238"/>
    </font>
    <font>
      <b/>
      <sz val="11"/>
      <color rgb="FFFF0000"/>
      <name val="Calibri"/>
      <family val="2"/>
      <charset val="238"/>
      <scheme val="minor"/>
    </font>
    <font>
      <i/>
      <sz val="12"/>
      <color indexed="8"/>
      <name val="Calibri"/>
      <family val="2"/>
    </font>
    <font>
      <i/>
      <sz val="11"/>
      <color theme="1"/>
      <name val="Calibri"/>
      <family val="2"/>
      <scheme val="minor"/>
    </font>
    <font>
      <u/>
      <sz val="12"/>
      <color theme="1"/>
      <name val="Calibri"/>
      <family val="2"/>
      <charset val="238"/>
      <scheme val="minor"/>
    </font>
    <font>
      <b/>
      <u/>
      <sz val="12"/>
      <color theme="1"/>
      <name val="Calibri"/>
      <family val="2"/>
      <charset val="238"/>
      <scheme val="minor"/>
    </font>
    <font>
      <b/>
      <i/>
      <sz val="10"/>
      <color theme="1"/>
      <name val="Calibri"/>
      <family val="2"/>
      <charset val="238"/>
      <scheme val="minor"/>
    </font>
    <font>
      <b/>
      <sz val="14"/>
      <name val="Calibri"/>
      <family val="2"/>
      <charset val="238"/>
    </font>
    <font>
      <sz val="14"/>
      <color theme="1"/>
      <name val="Calibri"/>
      <family val="2"/>
      <charset val="238"/>
      <scheme val="minor"/>
    </font>
    <font>
      <sz val="12"/>
      <color theme="1"/>
      <name val="Calibri"/>
      <family val="2"/>
      <charset val="238"/>
      <scheme val="minor"/>
    </font>
    <font>
      <sz val="22"/>
      <color indexed="8"/>
      <name val="Calibri"/>
      <family val="2"/>
      <charset val="238"/>
    </font>
    <font>
      <sz val="22"/>
      <color theme="1"/>
      <name val="Calibri"/>
      <family val="2"/>
      <charset val="238"/>
      <scheme val="minor"/>
    </font>
    <font>
      <sz val="36"/>
      <color theme="1"/>
      <name val="Calibri"/>
      <family val="2"/>
      <charset val="238"/>
      <scheme val="minor"/>
    </font>
    <font>
      <sz val="36"/>
      <color indexed="8"/>
      <name val="Calibri"/>
      <family val="2"/>
      <charset val="238"/>
    </font>
    <font>
      <sz val="36"/>
      <color theme="1"/>
      <name val="Calibri"/>
      <family val="2"/>
      <charset val="238"/>
    </font>
    <font>
      <sz val="28"/>
      <color theme="1"/>
      <name val="Calibri"/>
      <family val="2"/>
      <charset val="238"/>
      <scheme val="minor"/>
    </font>
    <font>
      <sz val="36"/>
      <color theme="1"/>
      <name val="Calibri"/>
      <family val="2"/>
      <scheme val="minor"/>
    </font>
    <font>
      <b/>
      <sz val="36"/>
      <color indexed="8"/>
      <name val="Calibri"/>
      <family val="2"/>
    </font>
    <font>
      <sz val="36"/>
      <color indexed="8"/>
      <name val="Calibri"/>
      <family val="2"/>
    </font>
    <font>
      <b/>
      <sz val="14"/>
      <color rgb="FFFF0000"/>
      <name val="Calibri"/>
      <family val="2"/>
      <charset val="238"/>
      <scheme val="minor"/>
    </font>
    <font>
      <u/>
      <sz val="11"/>
      <color theme="10"/>
      <name val="Calibri"/>
      <family val="2"/>
      <charset val="238"/>
      <scheme val="minor"/>
    </font>
    <font>
      <sz val="16"/>
      <color theme="1"/>
      <name val="Calibri"/>
      <family val="2"/>
      <scheme val="minor"/>
    </font>
    <font>
      <sz val="9"/>
      <color theme="1"/>
      <name val="Calibri"/>
      <family val="2"/>
      <charset val="238"/>
      <scheme val="minor"/>
    </font>
  </fonts>
  <fills count="34">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2" tint="-9.9978637043366805E-2"/>
        <bgColor indexed="64"/>
      </patternFill>
    </fill>
    <fill>
      <patternFill patternType="solid">
        <fgColor indexed="2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indexed="46"/>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FF"/>
        <bgColor rgb="FFFFFFFF"/>
      </patternFill>
    </fill>
    <fill>
      <patternFill patternType="solid">
        <fgColor rgb="FF99CCFF"/>
        <bgColor rgb="FF99CCFF"/>
      </patternFill>
    </fill>
    <fill>
      <patternFill patternType="solid">
        <fgColor rgb="FFDDD9C3"/>
        <bgColor rgb="FFDDD9C3"/>
      </patternFill>
    </fill>
    <fill>
      <patternFill patternType="solid">
        <fgColor rgb="FFC0C0C0"/>
        <bgColor rgb="FFC0C0C0"/>
      </patternFill>
    </fill>
    <fill>
      <patternFill patternType="solid">
        <fgColor theme="0"/>
        <bgColor rgb="FFFFFFFF"/>
      </patternFill>
    </fill>
    <fill>
      <patternFill patternType="solid">
        <fgColor rgb="FFFCD5B5"/>
        <bgColor rgb="FFFCD5B5"/>
      </patternFill>
    </fill>
    <fill>
      <patternFill patternType="solid">
        <fgColor rgb="FFD9D9D9"/>
        <bgColor rgb="FFD9D9D9"/>
      </patternFill>
    </fill>
    <fill>
      <patternFill patternType="solid">
        <fgColor rgb="FFD7E4BD"/>
        <bgColor rgb="FFD7E4BD"/>
      </patternFill>
    </fill>
    <fill>
      <patternFill patternType="solid">
        <fgColor rgb="FFCC99FF"/>
        <bgColor rgb="FFCC99FF"/>
      </patternFill>
    </fill>
    <fill>
      <patternFill patternType="solid">
        <fgColor rgb="FFCCC1DA"/>
        <bgColor rgb="FFCCC1DA"/>
      </patternFill>
    </fill>
    <fill>
      <patternFill patternType="solid">
        <fgColor theme="0"/>
        <bgColor rgb="FFDDD9C3"/>
      </patternFill>
    </fill>
    <fill>
      <patternFill patternType="solid">
        <fgColor theme="0"/>
        <bgColor rgb="FFD9D9D9"/>
      </patternFill>
    </fill>
    <fill>
      <patternFill patternType="solid">
        <fgColor rgb="FFC3D69B"/>
        <bgColor rgb="FFC3D69B"/>
      </patternFill>
    </fill>
    <fill>
      <patternFill patternType="solid">
        <fgColor rgb="FFB7DEE8"/>
        <bgColor rgb="FFB7DEE8"/>
      </patternFill>
    </fill>
    <fill>
      <patternFill patternType="solid">
        <fgColor rgb="FFFDEADA"/>
        <bgColor rgb="FFFDEADA"/>
      </patternFill>
    </fill>
    <fill>
      <patternFill patternType="solid">
        <fgColor rgb="FFFFFF00"/>
        <bgColor indexed="64"/>
      </patternFill>
    </fill>
    <fill>
      <patternFill patternType="solid">
        <fgColor theme="8" tint="0.79998168889431442"/>
        <bgColor indexed="64"/>
      </patternFill>
    </fill>
    <fill>
      <patternFill patternType="solid">
        <fgColor theme="0" tint="-0.34998626667073579"/>
        <bgColor indexed="64"/>
      </patternFill>
    </fill>
  </fills>
  <borders count="258">
    <border>
      <left/>
      <right/>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53"/>
      </left>
      <right/>
      <top/>
      <bottom/>
      <diagonal/>
    </border>
    <border>
      <left/>
      <right style="medium">
        <color indexed="53"/>
      </right>
      <top/>
      <bottom/>
      <diagonal/>
    </border>
    <border>
      <left style="medium">
        <color indexed="53"/>
      </left>
      <right/>
      <top/>
      <bottom style="medium">
        <color indexed="53"/>
      </bottom>
      <diagonal/>
    </border>
    <border>
      <left/>
      <right/>
      <top/>
      <bottom style="medium">
        <color indexed="53"/>
      </bottom>
      <diagonal/>
    </border>
    <border>
      <left/>
      <right style="medium">
        <color indexed="53"/>
      </right>
      <top/>
      <bottom style="medium">
        <color indexed="53"/>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auto="1"/>
      </top>
      <bottom style="hair">
        <color auto="1"/>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medium">
        <color auto="1"/>
      </right>
      <top style="medium">
        <color auto="1"/>
      </top>
      <bottom style="hair">
        <color auto="1"/>
      </bottom>
      <diagonal/>
    </border>
    <border>
      <left style="medium">
        <color indexed="64"/>
      </left>
      <right/>
      <top/>
      <bottom/>
      <diagonal/>
    </border>
    <border>
      <left style="medium">
        <color indexed="64"/>
      </left>
      <right/>
      <top/>
      <bottom style="medium">
        <color indexed="64"/>
      </bottom>
      <diagonal/>
    </border>
    <border>
      <left/>
      <right style="hair">
        <color indexed="64"/>
      </right>
      <top style="medium">
        <color indexed="64"/>
      </top>
      <bottom style="hair">
        <color indexed="64"/>
      </bottom>
      <diagonal/>
    </border>
    <border>
      <left style="medium">
        <color indexed="64"/>
      </left>
      <right style="hair">
        <color indexed="64"/>
      </right>
      <top style="hair">
        <color indexed="64"/>
      </top>
      <bottom/>
      <diagonal/>
    </border>
    <border>
      <left/>
      <right style="hair">
        <color indexed="64"/>
      </right>
      <top/>
      <bottom/>
      <diagonal/>
    </border>
    <border>
      <left/>
      <right style="hair">
        <color indexed="64"/>
      </right>
      <top/>
      <bottom style="medium">
        <color indexed="64"/>
      </bottom>
      <diagonal/>
    </border>
    <border>
      <left/>
      <right/>
      <top style="medium">
        <color indexed="64"/>
      </top>
      <bottom style="medium">
        <color indexed="64"/>
      </bottom>
      <diagonal/>
    </border>
    <border>
      <left style="hair">
        <color indexed="64"/>
      </left>
      <right style="medium">
        <color indexed="64"/>
      </right>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right style="double">
        <color indexed="64"/>
      </right>
      <top style="medium">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style="medium">
        <color indexed="64"/>
      </top>
      <bottom style="hair">
        <color indexed="64"/>
      </bottom>
      <diagonal/>
    </border>
    <border>
      <left/>
      <right style="double">
        <color indexed="64"/>
      </right>
      <top style="hair">
        <color indexed="64"/>
      </top>
      <bottom style="medium">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medium">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right style="double">
        <color indexed="64"/>
      </right>
      <top/>
      <bottom style="hair">
        <color indexed="64"/>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style="hair">
        <color indexed="64"/>
      </left>
      <right style="double">
        <color indexed="64"/>
      </right>
      <top/>
      <bottom style="hair">
        <color indexed="64"/>
      </bottom>
      <diagonal/>
    </border>
    <border>
      <left/>
      <right/>
      <top/>
      <bottom style="medium">
        <color indexed="64"/>
      </bottom>
      <diagonal/>
    </border>
    <border>
      <left/>
      <right/>
      <top style="medium">
        <color auto="1"/>
      </top>
      <bottom/>
      <diagonal/>
    </border>
    <border>
      <left style="medium">
        <color indexed="64"/>
      </left>
      <right style="medium">
        <color auto="1"/>
      </right>
      <top style="medium">
        <color indexed="64"/>
      </top>
      <bottom style="hair">
        <color indexed="64"/>
      </bottom>
      <diagonal/>
    </border>
    <border>
      <left style="thin">
        <color indexed="64"/>
      </left>
      <right style="hair">
        <color indexed="64"/>
      </right>
      <top style="hair">
        <color indexed="64"/>
      </top>
      <bottom style="dotted">
        <color indexed="64"/>
      </bottom>
      <diagonal/>
    </border>
    <border>
      <left style="hair">
        <color indexed="64"/>
      </left>
      <right style="hair">
        <color indexed="64"/>
      </right>
      <top style="hair">
        <color indexed="64"/>
      </top>
      <bottom/>
      <diagonal/>
    </border>
    <border>
      <left style="medium">
        <color indexed="64"/>
      </left>
      <right style="medium">
        <color auto="1"/>
      </right>
      <top/>
      <bottom/>
      <diagonal/>
    </border>
    <border>
      <left style="medium">
        <color indexed="64"/>
      </left>
      <right style="medium">
        <color auto="1"/>
      </right>
      <top style="hair">
        <color indexed="64"/>
      </top>
      <bottom style="hair">
        <color indexed="64"/>
      </bottom>
      <diagonal/>
    </border>
    <border>
      <left style="thin">
        <color indexed="64"/>
      </left>
      <right style="hair">
        <color indexed="64"/>
      </right>
      <top style="dotted">
        <color indexed="64"/>
      </top>
      <bottom style="dotted">
        <color indexed="64"/>
      </bottom>
      <diagonal/>
    </border>
    <border>
      <left style="medium">
        <color indexed="64"/>
      </left>
      <right style="medium">
        <color auto="1"/>
      </right>
      <top style="hair">
        <color indexed="64"/>
      </top>
      <bottom/>
      <diagonal/>
    </border>
    <border>
      <left/>
      <right/>
      <top style="hair">
        <color indexed="64"/>
      </top>
      <bottom/>
      <diagonal/>
    </border>
    <border>
      <left style="thin">
        <color indexed="64"/>
      </left>
      <right style="hair">
        <color indexed="64"/>
      </right>
      <top style="dotted">
        <color indexed="64"/>
      </top>
      <bottom style="medium">
        <color indexed="64"/>
      </bottom>
      <diagonal/>
    </border>
    <border>
      <left/>
      <right/>
      <top style="hair">
        <color indexed="64"/>
      </top>
      <bottom style="medium">
        <color indexed="64"/>
      </bottom>
      <diagonal/>
    </border>
    <border>
      <left style="medium">
        <color indexed="64"/>
      </left>
      <right style="medium">
        <color auto="1"/>
      </right>
      <top style="hair">
        <color indexed="64"/>
      </top>
      <bottom style="medium">
        <color indexed="64"/>
      </bottom>
      <diagonal/>
    </border>
    <border>
      <left style="medium">
        <color indexed="64"/>
      </left>
      <right style="medium">
        <color auto="1"/>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auto="1"/>
      </left>
      <right style="hair">
        <color auto="1"/>
      </right>
      <top style="hair">
        <color auto="1"/>
      </top>
      <bottom style="medium">
        <color auto="1"/>
      </bottom>
      <diagonal/>
    </border>
    <border>
      <left style="medium">
        <color auto="1"/>
      </left>
      <right/>
      <top/>
      <bottom/>
      <diagonal/>
    </border>
    <border>
      <left style="thin">
        <color indexed="64"/>
      </left>
      <right/>
      <top/>
      <bottom/>
      <diagonal/>
    </border>
    <border>
      <left style="medium">
        <color indexed="64"/>
      </left>
      <right/>
      <top style="hair">
        <color indexed="64"/>
      </top>
      <bottom/>
      <diagonal/>
    </border>
    <border>
      <left style="thin">
        <color indexed="64"/>
      </left>
      <right/>
      <top style="hair">
        <color indexed="64"/>
      </top>
      <bottom/>
      <diagonal/>
    </border>
    <border>
      <left style="thin">
        <color indexed="64"/>
      </left>
      <right/>
      <top/>
      <bottom style="medium">
        <color indexed="64"/>
      </bottom>
      <diagonal/>
    </border>
    <border>
      <left/>
      <right style="medium">
        <color indexed="64"/>
      </right>
      <top style="hair">
        <color indexed="64"/>
      </top>
      <bottom/>
      <diagonal/>
    </border>
    <border>
      <left/>
      <right style="thin">
        <color indexed="64"/>
      </right>
      <top/>
      <bottom style="hair">
        <color indexed="64"/>
      </bottom>
      <diagonal/>
    </border>
    <border>
      <left/>
      <right style="medium">
        <color indexed="64"/>
      </right>
      <top/>
      <bottom/>
      <diagonal/>
    </border>
    <border>
      <left/>
      <right style="thin">
        <color indexed="64"/>
      </right>
      <top style="hair">
        <color indexed="64"/>
      </top>
      <bottom style="hair">
        <color indexed="64"/>
      </bottom>
      <diagonal/>
    </border>
    <border>
      <left/>
      <right style="medium">
        <color indexed="64"/>
      </right>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diagonal/>
    </border>
    <border>
      <left style="medium">
        <color auto="1"/>
      </left>
      <right/>
      <top style="medium">
        <color auto="1"/>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right/>
      <top style="medium">
        <color indexed="64"/>
      </top>
      <bottom style="hair">
        <color indexed="64"/>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right style="medium">
        <color auto="1"/>
      </right>
      <top style="medium">
        <color auto="1"/>
      </top>
      <bottom style="hair">
        <color auto="1"/>
      </bottom>
      <diagonal/>
    </border>
    <border>
      <left/>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style="thin">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FF6600"/>
      </left>
      <right/>
      <top style="thin">
        <color rgb="FFFF6600"/>
      </top>
      <bottom/>
      <diagonal/>
    </border>
    <border>
      <left/>
      <right style="thin">
        <color rgb="FFFF6600"/>
      </right>
      <top style="thin">
        <color rgb="FFFF6600"/>
      </top>
      <bottom/>
      <diagonal/>
    </border>
    <border>
      <left style="thin">
        <color rgb="FFFF6600"/>
      </left>
      <right style="thin">
        <color rgb="FFFF6600"/>
      </right>
      <top/>
      <bottom style="thin">
        <color rgb="FFFF66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bottom style="thin">
        <color rgb="FF000000"/>
      </bottom>
      <diagonal/>
    </border>
    <border>
      <left/>
      <right style="double">
        <color rgb="FF000000"/>
      </right>
      <top style="thin">
        <color rgb="FF000000"/>
      </top>
      <bottom style="thin">
        <color rgb="FF000000"/>
      </bottom>
      <diagonal/>
    </border>
    <border>
      <left/>
      <right style="double">
        <color rgb="FF000000"/>
      </right>
      <top/>
      <bottom style="thin">
        <color rgb="FF000000"/>
      </bottom>
      <diagonal/>
    </border>
    <border>
      <left/>
      <right/>
      <top/>
      <bottom style="thin">
        <color rgb="FF000000"/>
      </bottom>
      <diagonal/>
    </border>
    <border>
      <left/>
      <right/>
      <top style="thin">
        <color rgb="FF000000"/>
      </top>
      <bottom/>
      <diagonal/>
    </border>
    <border>
      <left style="thin">
        <color rgb="FF000000"/>
      </left>
      <right style="double">
        <color rgb="FF000000"/>
      </right>
      <top/>
      <bottom style="thin">
        <color rgb="FF000000"/>
      </bottom>
      <diagonal/>
    </border>
    <border>
      <left/>
      <right style="thin">
        <color rgb="FF000000"/>
      </right>
      <top style="thin">
        <color rgb="FF000000"/>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auto="1"/>
      </left>
      <right style="hair">
        <color auto="1"/>
      </right>
      <top/>
      <bottom/>
      <diagonal/>
    </border>
    <border>
      <left style="medium">
        <color auto="1"/>
      </left>
      <right/>
      <top/>
      <bottom/>
      <diagonal/>
    </border>
    <border>
      <left style="thin">
        <color auto="1"/>
      </left>
      <right style="double">
        <color auto="1"/>
      </right>
      <top style="medium">
        <color auto="1"/>
      </top>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right/>
      <top style="medium">
        <color indexed="64"/>
      </top>
      <bottom style="medium">
        <color indexed="64"/>
      </bottom>
      <diagonal/>
    </border>
    <border>
      <left/>
      <right/>
      <top style="medium">
        <color auto="1"/>
      </top>
      <bottom/>
      <diagonal/>
    </border>
    <border>
      <left style="medium">
        <color indexed="64"/>
      </left>
      <right style="medium">
        <color auto="1"/>
      </right>
      <top/>
      <bottom/>
      <diagonal/>
    </border>
    <border>
      <left style="medium">
        <color indexed="64"/>
      </left>
      <right style="medium">
        <color indexed="64"/>
      </right>
      <top style="medium">
        <color indexed="64"/>
      </top>
      <bottom style="medium">
        <color indexed="64"/>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thin">
        <color indexed="64"/>
      </left>
      <right style="hair">
        <color indexed="64"/>
      </right>
      <top/>
      <bottom/>
      <diagonal/>
    </border>
    <border>
      <left style="thin">
        <color indexed="64"/>
      </left>
      <right style="double">
        <color indexed="64"/>
      </right>
      <top style="hair">
        <color indexed="64"/>
      </top>
      <bottom/>
      <diagonal/>
    </border>
    <border>
      <left style="double">
        <color indexed="64"/>
      </left>
      <right style="hair">
        <color indexed="64"/>
      </right>
      <top style="hair">
        <color indexed="64"/>
      </top>
      <bottom/>
      <diagonal/>
    </border>
    <border>
      <left style="thin">
        <color indexed="64"/>
      </left>
      <right style="hair">
        <color indexed="64"/>
      </right>
      <top/>
      <bottom style="medium">
        <color indexed="64"/>
      </bottom>
      <diagonal/>
    </border>
    <border>
      <left style="medium">
        <color indexed="53"/>
      </left>
      <right/>
      <top/>
      <bottom/>
      <diagonal/>
    </border>
    <border>
      <left style="medium">
        <color auto="1"/>
      </left>
      <right/>
      <top style="medium">
        <color auto="1"/>
      </top>
      <bottom/>
      <diagonal/>
    </border>
    <border>
      <left style="hair">
        <color auto="1"/>
      </left>
      <right style="hair">
        <color auto="1"/>
      </right>
      <top style="medium">
        <color auto="1"/>
      </top>
      <bottom/>
      <diagonal/>
    </border>
    <border>
      <left/>
      <right/>
      <top style="medium">
        <color auto="1"/>
      </top>
      <bottom style="hair">
        <color auto="1"/>
      </bottom>
      <diagonal/>
    </border>
    <border>
      <left style="medium">
        <color auto="1"/>
      </left>
      <right style="hair">
        <color auto="1"/>
      </right>
      <top/>
      <bottom/>
      <diagonal/>
    </border>
    <border>
      <left/>
      <right style="medium">
        <color auto="1"/>
      </right>
      <top style="medium">
        <color auto="1"/>
      </top>
      <bottom style="hair">
        <color auto="1"/>
      </bottom>
      <diagonal/>
    </border>
    <border>
      <left/>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style="medium">
        <color indexed="64"/>
      </left>
      <right style="medium">
        <color auto="1"/>
      </right>
      <top/>
      <bottom/>
      <diagonal/>
    </border>
    <border>
      <left style="medium">
        <color indexed="64"/>
      </left>
      <right/>
      <top/>
      <bottom/>
      <diagonal/>
    </border>
    <border>
      <left/>
      <right/>
      <top style="thin">
        <color indexed="64"/>
      </top>
      <bottom style="thin">
        <color indexed="64"/>
      </bottom>
      <diagonal/>
    </border>
    <border>
      <left/>
      <right style="hair">
        <color indexed="64"/>
      </right>
      <top style="medium">
        <color auto="1"/>
      </top>
      <bottom/>
      <diagonal/>
    </border>
    <border>
      <left style="thin">
        <color indexed="64"/>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double">
        <color indexed="64"/>
      </right>
      <top style="medium">
        <color indexed="64"/>
      </top>
      <bottom style="hair">
        <color indexed="64"/>
      </bottom>
      <diagonal/>
    </border>
    <border>
      <left style="medium">
        <color indexed="64"/>
      </left>
      <right style="medium">
        <color auto="1"/>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64"/>
      </left>
      <right/>
      <top style="medium">
        <color indexed="64"/>
      </top>
      <bottom/>
      <diagonal/>
    </border>
    <border>
      <left/>
      <right style="medium">
        <color indexed="64"/>
      </right>
      <top style="hair">
        <color auto="1"/>
      </top>
      <bottom style="medium">
        <color indexed="64"/>
      </bottom>
      <diagonal/>
    </border>
    <border>
      <left style="medium">
        <color indexed="64"/>
      </left>
      <right/>
      <top style="medium">
        <color indexed="64"/>
      </top>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64"/>
      </left>
      <right/>
      <top style="medium">
        <color indexed="64"/>
      </top>
      <bottom/>
      <diagonal/>
    </border>
    <border>
      <left style="hair">
        <color indexed="64"/>
      </left>
      <right style="hair">
        <color indexed="64"/>
      </right>
      <top style="medium">
        <color indexed="64"/>
      </top>
      <bottom/>
      <diagonal/>
    </border>
    <border>
      <left/>
      <right/>
      <top style="medium">
        <color indexed="64"/>
      </top>
      <bottom style="hair">
        <color indexed="64"/>
      </bottom>
      <diagonal/>
    </border>
    <border>
      <left/>
      <right style="medium">
        <color auto="1"/>
      </right>
      <top style="medium">
        <color auto="1"/>
      </top>
      <bottom style="hair">
        <color auto="1"/>
      </bottom>
      <diagonal/>
    </border>
    <border>
      <left/>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medium">
        <color auto="1"/>
      </top>
      <bottom style="thin">
        <color auto="1"/>
      </bottom>
      <diagonal/>
    </border>
    <border>
      <left style="hair">
        <color auto="1"/>
      </left>
      <right style="double">
        <color auto="1"/>
      </right>
      <top style="medium">
        <color auto="1"/>
      </top>
      <bottom/>
      <diagonal/>
    </border>
    <border>
      <left/>
      <right style="thin">
        <color auto="1"/>
      </right>
      <top style="medium">
        <color auto="1"/>
      </top>
      <bottom style="hair">
        <color auto="1"/>
      </bottom>
      <diagonal/>
    </border>
    <border>
      <left style="medium">
        <color indexed="53"/>
      </left>
      <right/>
      <top style="medium">
        <color indexed="53"/>
      </top>
      <bottom/>
      <diagonal/>
    </border>
    <border>
      <left/>
      <right/>
      <top style="medium">
        <color indexed="53"/>
      </top>
      <bottom/>
      <diagonal/>
    </border>
    <border>
      <left/>
      <right style="medium">
        <color indexed="53"/>
      </right>
      <top style="medium">
        <color indexed="53"/>
      </top>
      <bottom/>
      <diagonal/>
    </border>
    <border>
      <left style="medium">
        <color indexed="64"/>
      </left>
      <right/>
      <top style="medium">
        <color indexed="64"/>
      </top>
      <bottom/>
      <diagonal/>
    </border>
    <border>
      <left style="medium">
        <color indexed="53"/>
      </left>
      <right/>
      <top/>
      <bottom/>
      <diagonal/>
    </border>
    <border>
      <left style="medium">
        <color auto="1"/>
      </left>
      <right style="hair">
        <color auto="1"/>
      </right>
      <top/>
      <bottom/>
      <diagonal/>
    </border>
    <border>
      <left style="medium">
        <color auto="1"/>
      </left>
      <right/>
      <top/>
      <bottom/>
      <diagonal/>
    </border>
    <border>
      <left/>
      <right style="hair">
        <color auto="1"/>
      </right>
      <top/>
      <bottom style="medium">
        <color auto="1"/>
      </bottom>
      <diagonal/>
    </border>
    <border>
      <left/>
      <right/>
      <top/>
      <bottom style="medium">
        <color indexed="64"/>
      </bottom>
      <diagonal/>
    </border>
    <border>
      <left style="medium">
        <color auto="1"/>
      </left>
      <right style="medium">
        <color auto="1"/>
      </right>
      <top/>
      <bottom/>
      <diagonal/>
    </border>
  </borders>
  <cellStyleXfs count="6">
    <xf numFmtId="0" fontId="0" fillId="0" borderId="0"/>
    <xf numFmtId="166" fontId="1" fillId="0" borderId="0" applyFont="0" applyFill="0" applyBorder="0" applyAlignment="0" applyProtection="0"/>
    <xf numFmtId="0" fontId="57" fillId="0" borderId="0"/>
    <xf numFmtId="167" fontId="125" fillId="0" borderId="0"/>
    <xf numFmtId="0" fontId="1" fillId="0" borderId="0"/>
    <xf numFmtId="0" fontId="180" fillId="0" borderId="0" applyNumberFormat="0" applyFill="0" applyBorder="0" applyAlignment="0" applyProtection="0"/>
  </cellStyleXfs>
  <cellXfs count="2743">
    <xf numFmtId="0" fontId="0" fillId="0" borderId="0" xfId="0"/>
    <xf numFmtId="0" fontId="4" fillId="0" borderId="0" xfId="0" applyFont="1"/>
    <xf numFmtId="0" fontId="5" fillId="2" borderId="1" xfId="0" applyFont="1" applyFill="1" applyBorder="1" applyAlignment="1">
      <alignment horizontal="centerContinuous"/>
    </xf>
    <xf numFmtId="0" fontId="0" fillId="2" borderId="2" xfId="0" applyFill="1" applyBorder="1" applyAlignment="1">
      <alignment horizontal="centerContinuous"/>
    </xf>
    <xf numFmtId="0" fontId="4" fillId="0" borderId="0" xfId="0" applyFont="1" applyBorder="1"/>
    <xf numFmtId="0" fontId="11" fillId="3" borderId="0" xfId="0" applyFont="1" applyFill="1"/>
    <xf numFmtId="0" fontId="0" fillId="3" borderId="0" xfId="0" applyFill="1"/>
    <xf numFmtId="0" fontId="0" fillId="0" borderId="0" xfId="0" applyBorder="1"/>
    <xf numFmtId="0" fontId="12" fillId="3" borderId="9" xfId="0" applyFont="1" applyFill="1" applyBorder="1" applyAlignment="1">
      <alignment wrapText="1"/>
    </xf>
    <xf numFmtId="0" fontId="12" fillId="3" borderId="10" xfId="0" applyFont="1" applyFill="1" applyBorder="1" applyAlignment="1">
      <alignment wrapText="1"/>
    </xf>
    <xf numFmtId="0" fontId="13" fillId="3" borderId="11" xfId="0" applyFont="1" applyFill="1" applyBorder="1" applyAlignment="1">
      <alignment horizontal="centerContinuous" wrapText="1"/>
    </xf>
    <xf numFmtId="0" fontId="13" fillId="3" borderId="14" xfId="0" applyFont="1" applyFill="1" applyBorder="1" applyAlignment="1">
      <alignment horizontal="centerContinuous" wrapText="1"/>
    </xf>
    <xf numFmtId="0" fontId="14" fillId="3" borderId="15" xfId="0" applyFont="1" applyFill="1" applyBorder="1" applyAlignment="1">
      <alignment horizontal="center" vertical="center"/>
    </xf>
    <xf numFmtId="0" fontId="0" fillId="3" borderId="15" xfId="0" applyFill="1" applyBorder="1" applyAlignment="1">
      <alignment horizontal="centerContinuous" wrapText="1"/>
    </xf>
    <xf numFmtId="0" fontId="13" fillId="3" borderId="16" xfId="0" applyFont="1" applyFill="1" applyBorder="1" applyAlignment="1">
      <alignment horizontal="centerContinuous" wrapText="1"/>
    </xf>
    <xf numFmtId="0" fontId="13" fillId="0" borderId="0" xfId="0" applyFont="1" applyFill="1" applyBorder="1" applyAlignment="1">
      <alignment horizontal="centerContinuous" wrapText="1"/>
    </xf>
    <xf numFmtId="0" fontId="14" fillId="0" borderId="0" xfId="0" applyFont="1" applyFill="1" applyBorder="1" applyAlignment="1">
      <alignment horizontal="centerContinuous" wrapText="1"/>
    </xf>
    <xf numFmtId="0" fontId="0" fillId="0" borderId="0" xfId="0" applyFill="1" applyBorder="1" applyAlignment="1">
      <alignment horizontal="centerContinuous" wrapText="1"/>
    </xf>
    <xf numFmtId="0" fontId="12" fillId="3" borderId="17" xfId="0" applyFont="1" applyFill="1" applyBorder="1" applyAlignment="1">
      <alignment wrapText="1"/>
    </xf>
    <xf numFmtId="0" fontId="12" fillId="3" borderId="18" xfId="0" applyFont="1" applyFill="1" applyBorder="1" applyAlignment="1">
      <alignment wrapText="1"/>
    </xf>
    <xf numFmtId="0" fontId="15" fillId="3" borderId="19" xfId="0" applyFont="1" applyFill="1" applyBorder="1" applyAlignment="1">
      <alignment wrapText="1"/>
    </xf>
    <xf numFmtId="0" fontId="15" fillId="3" borderId="20" xfId="0" applyFont="1" applyFill="1" applyBorder="1" applyAlignment="1">
      <alignment horizontal="center" wrapText="1"/>
    </xf>
    <xf numFmtId="0" fontId="15" fillId="3" borderId="21" xfId="0" applyFont="1" applyFill="1" applyBorder="1" applyAlignment="1">
      <alignment horizontal="center" wrapText="1"/>
    </xf>
    <xf numFmtId="0" fontId="16" fillId="3" borderId="22" xfId="0" applyFont="1" applyFill="1" applyBorder="1" applyAlignment="1">
      <alignment horizontal="center" wrapText="1"/>
    </xf>
    <xf numFmtId="0" fontId="17" fillId="3" borderId="23" xfId="0" applyFont="1" applyFill="1" applyBorder="1" applyAlignment="1">
      <alignment wrapText="1"/>
    </xf>
    <xf numFmtId="0" fontId="15" fillId="3" borderId="21" xfId="0" applyFont="1" applyFill="1" applyBorder="1" applyAlignment="1">
      <alignment wrapText="1"/>
    </xf>
    <xf numFmtId="0" fontId="17" fillId="3" borderId="21" xfId="0" applyFont="1" applyFill="1" applyBorder="1" applyAlignment="1">
      <alignment wrapText="1"/>
    </xf>
    <xf numFmtId="0" fontId="15" fillId="3" borderId="24" xfId="0" applyFont="1" applyFill="1" applyBorder="1" applyAlignment="1">
      <alignment wrapText="1"/>
    </xf>
    <xf numFmtId="0" fontId="15" fillId="0" borderId="0" xfId="0" applyFont="1" applyFill="1" applyBorder="1" applyAlignment="1">
      <alignment wrapText="1"/>
    </xf>
    <xf numFmtId="0" fontId="0" fillId="4" borderId="19" xfId="0" applyFill="1" applyBorder="1"/>
    <xf numFmtId="0" fontId="0" fillId="4" borderId="20" xfId="0" applyFill="1" applyBorder="1"/>
    <xf numFmtId="0" fontId="0" fillId="4" borderId="21" xfId="0" applyFill="1" applyBorder="1"/>
    <xf numFmtId="0" fontId="0" fillId="5" borderId="22" xfId="0" applyFill="1" applyBorder="1"/>
    <xf numFmtId="0" fontId="0" fillId="4" borderId="23" xfId="0" applyFill="1" applyBorder="1"/>
    <xf numFmtId="0" fontId="0" fillId="4" borderId="24" xfId="0" applyFill="1" applyBorder="1"/>
    <xf numFmtId="0" fontId="0" fillId="0" borderId="0" xfId="0" applyFill="1" applyBorder="1"/>
    <xf numFmtId="0" fontId="0" fillId="0" borderId="19" xfId="0" applyBorder="1"/>
    <xf numFmtId="0" fontId="0" fillId="0" borderId="20" xfId="0" applyBorder="1"/>
    <xf numFmtId="0" fontId="0" fillId="0" borderId="21" xfId="0" applyBorder="1"/>
    <xf numFmtId="0" fontId="0" fillId="0" borderId="23" xfId="0" applyBorder="1"/>
    <xf numFmtId="0" fontId="0" fillId="2" borderId="24" xfId="0" applyFill="1" applyBorder="1"/>
    <xf numFmtId="0" fontId="0" fillId="0" borderId="19" xfId="0" applyFill="1" applyBorder="1"/>
    <xf numFmtId="0" fontId="13" fillId="5" borderId="27" xfId="0" applyFont="1" applyFill="1" applyBorder="1" applyAlignment="1">
      <alignment horizontal="right"/>
    </xf>
    <xf numFmtId="0" fontId="0" fillId="5" borderId="28" xfId="0" applyFill="1" applyBorder="1"/>
    <xf numFmtId="0" fontId="0" fillId="5" borderId="29" xfId="0" applyFill="1" applyBorder="1"/>
    <xf numFmtId="0" fontId="0" fillId="5" borderId="30" xfId="0" applyFill="1" applyBorder="1"/>
    <xf numFmtId="0" fontId="0" fillId="5" borderId="31" xfId="0" applyFill="1" applyBorder="1"/>
    <xf numFmtId="0" fontId="0" fillId="5" borderId="32" xfId="0" applyFill="1" applyBorder="1"/>
    <xf numFmtId="0" fontId="0" fillId="5" borderId="33" xfId="0" applyFill="1" applyBorder="1"/>
    <xf numFmtId="0" fontId="13" fillId="0" borderId="0" xfId="0" applyFont="1" applyAlignment="1">
      <alignment horizontal="right"/>
    </xf>
    <xf numFmtId="0" fontId="13" fillId="3" borderId="34" xfId="0" applyFont="1" applyFill="1" applyBorder="1" applyAlignment="1">
      <alignment horizontal="centerContinuous" wrapText="1"/>
    </xf>
    <xf numFmtId="0" fontId="0" fillId="0" borderId="0" xfId="0" applyBorder="1" applyAlignment="1">
      <alignment wrapText="1"/>
    </xf>
    <xf numFmtId="0" fontId="12" fillId="3" borderId="37" xfId="0" applyFont="1" applyFill="1" applyBorder="1" applyAlignment="1">
      <alignment wrapText="1"/>
    </xf>
    <xf numFmtId="0" fontId="15" fillId="3" borderId="22" xfId="0" applyFont="1" applyFill="1" applyBorder="1" applyAlignment="1">
      <alignment wrapText="1"/>
    </xf>
    <xf numFmtId="0" fontId="15" fillId="3" borderId="23" xfId="0" applyFont="1" applyFill="1" applyBorder="1" applyAlignment="1">
      <alignment horizontal="center" wrapText="1"/>
    </xf>
    <xf numFmtId="0" fontId="16" fillId="3" borderId="24" xfId="0" applyFont="1" applyFill="1" applyBorder="1" applyAlignment="1">
      <alignment horizontal="center" wrapText="1"/>
    </xf>
    <xf numFmtId="0" fontId="0" fillId="0" borderId="0" xfId="0" applyAlignment="1">
      <alignment wrapText="1"/>
    </xf>
    <xf numFmtId="0" fontId="0" fillId="4" borderId="22" xfId="0" applyFill="1" applyBorder="1"/>
    <xf numFmtId="0" fontId="0" fillId="5" borderId="24" xfId="0" applyFill="1" applyBorder="1"/>
    <xf numFmtId="0" fontId="0" fillId="0" borderId="22" xfId="0" applyBorder="1"/>
    <xf numFmtId="0" fontId="0" fillId="0" borderId="22" xfId="0" applyFill="1" applyBorder="1"/>
    <xf numFmtId="0" fontId="13" fillId="5" borderId="30" xfId="0" applyFont="1" applyFill="1" applyBorder="1" applyAlignment="1">
      <alignment horizontal="right"/>
    </xf>
    <xf numFmtId="0" fontId="0" fillId="0" borderId="0" xfId="0" applyAlignment="1">
      <alignment vertical="center" wrapText="1"/>
    </xf>
    <xf numFmtId="0" fontId="11" fillId="6" borderId="0" xfId="0" applyFont="1" applyFill="1"/>
    <xf numFmtId="0" fontId="0" fillId="6" borderId="0" xfId="0" applyFill="1"/>
    <xf numFmtId="0" fontId="0" fillId="0" borderId="0" xfId="0" applyFill="1"/>
    <xf numFmtId="0" fontId="12" fillId="6" borderId="9" xfId="0" applyFont="1" applyFill="1" applyBorder="1"/>
    <xf numFmtId="0" fontId="18" fillId="6" borderId="15" xfId="0" applyFont="1" applyFill="1" applyBorder="1" applyAlignment="1">
      <alignment wrapText="1"/>
    </xf>
    <xf numFmtId="0" fontId="15" fillId="6" borderId="11" xfId="0" applyFont="1" applyFill="1" applyBorder="1"/>
    <xf numFmtId="0" fontId="15" fillId="6" borderId="39" xfId="0" applyFont="1" applyFill="1" applyBorder="1" applyAlignment="1">
      <alignment horizontal="center" wrapText="1"/>
    </xf>
    <xf numFmtId="0" fontId="15" fillId="6" borderId="11" xfId="0" applyFont="1" applyFill="1" applyBorder="1" applyAlignment="1">
      <alignment horizontal="center" wrapText="1"/>
    </xf>
    <xf numFmtId="0" fontId="15" fillId="7" borderId="0" xfId="0" applyFont="1" applyFill="1" applyBorder="1" applyAlignment="1">
      <alignment wrapText="1"/>
    </xf>
    <xf numFmtId="0" fontId="26" fillId="4" borderId="19" xfId="0" applyFont="1" applyFill="1" applyBorder="1"/>
    <xf numFmtId="0" fontId="26" fillId="0" borderId="19" xfId="0" applyFont="1" applyBorder="1"/>
    <xf numFmtId="3" fontId="0" fillId="0" borderId="20" xfId="0" applyNumberFormat="1" applyBorder="1"/>
    <xf numFmtId="3" fontId="0" fillId="0" borderId="19" xfId="0" applyNumberFormat="1" applyBorder="1"/>
    <xf numFmtId="3" fontId="0" fillId="5" borderId="28" xfId="0" applyNumberFormat="1" applyFill="1" applyBorder="1"/>
    <xf numFmtId="3" fontId="0" fillId="5" borderId="27" xfId="0" applyNumberFormat="1" applyFill="1" applyBorder="1"/>
    <xf numFmtId="0" fontId="0" fillId="7" borderId="0" xfId="0" applyFill="1" applyBorder="1"/>
    <xf numFmtId="0" fontId="15" fillId="0" borderId="43" xfId="0" applyFont="1" applyFill="1" applyBorder="1" applyAlignment="1">
      <alignment horizontal="left" vertical="center" wrapText="1"/>
    </xf>
    <xf numFmtId="0" fontId="15" fillId="0" borderId="0" xfId="0" applyFont="1" applyFill="1" applyBorder="1" applyAlignment="1">
      <alignment horizontal="center" vertical="center" wrapText="1"/>
    </xf>
    <xf numFmtId="0" fontId="13" fillId="0" borderId="0" xfId="0" applyFont="1" applyFill="1" applyBorder="1" applyAlignment="1">
      <alignment horizontal="right"/>
    </xf>
    <xf numFmtId="0" fontId="12" fillId="6" borderId="14" xfId="0" applyFont="1" applyFill="1" applyBorder="1"/>
    <xf numFmtId="0" fontId="12" fillId="6" borderId="15" xfId="0" applyFont="1" applyFill="1" applyBorder="1" applyAlignment="1">
      <alignment wrapText="1"/>
    </xf>
    <xf numFmtId="0" fontId="15" fillId="6" borderId="11" xfId="0" applyFont="1" applyFill="1" applyBorder="1" applyAlignment="1">
      <alignment horizontal="left"/>
    </xf>
    <xf numFmtId="0" fontId="15" fillId="6" borderId="15" xfId="0" applyFont="1" applyFill="1" applyBorder="1" applyAlignment="1">
      <alignment horizontal="center" wrapText="1"/>
    </xf>
    <xf numFmtId="0" fontId="15" fillId="6" borderId="16" xfId="0" applyFont="1" applyFill="1" applyBorder="1" applyAlignment="1">
      <alignment horizontal="center" wrapText="1"/>
    </xf>
    <xf numFmtId="0" fontId="15" fillId="4" borderId="19" xfId="0" applyFont="1" applyFill="1" applyBorder="1"/>
    <xf numFmtId="0" fontId="0" fillId="0" borderId="24" xfId="0" applyBorder="1"/>
    <xf numFmtId="3" fontId="0" fillId="0" borderId="21" xfId="0" applyNumberFormat="1" applyBorder="1"/>
    <xf numFmtId="0" fontId="0" fillId="0" borderId="20" xfId="0" applyFill="1" applyBorder="1"/>
    <xf numFmtId="0" fontId="0" fillId="0" borderId="21" xfId="0" applyFill="1" applyBorder="1"/>
    <xf numFmtId="3" fontId="0" fillId="0" borderId="21" xfId="0" applyNumberFormat="1" applyFill="1" applyBorder="1"/>
    <xf numFmtId="0" fontId="0" fillId="0" borderId="44" xfId="0" applyBorder="1"/>
    <xf numFmtId="3" fontId="0" fillId="5" borderId="29" xfId="0" applyNumberFormat="1" applyFill="1" applyBorder="1"/>
    <xf numFmtId="0" fontId="12" fillId="6" borderId="10" xfId="0" applyFont="1" applyFill="1" applyBorder="1" applyAlignment="1">
      <alignment wrapText="1"/>
    </xf>
    <xf numFmtId="0" fontId="29" fillId="6" borderId="48" xfId="0" applyFont="1" applyFill="1" applyBorder="1" applyAlignment="1">
      <alignment horizontal="centerContinuous" wrapText="1"/>
    </xf>
    <xf numFmtId="0" fontId="28" fillId="6" borderId="13" xfId="0" applyFont="1" applyFill="1" applyBorder="1" applyAlignment="1">
      <alignment horizontal="centerContinuous" wrapText="1"/>
    </xf>
    <xf numFmtId="0" fontId="28" fillId="6" borderId="36" xfId="0" applyFont="1" applyFill="1" applyBorder="1" applyAlignment="1">
      <alignment horizontal="centerContinuous" wrapText="1"/>
    </xf>
    <xf numFmtId="0" fontId="12" fillId="6" borderId="49" xfId="0" applyFont="1" applyFill="1" applyBorder="1" applyAlignment="1">
      <alignment wrapText="1"/>
    </xf>
    <xf numFmtId="0" fontId="30" fillId="6" borderId="52" xfId="0" applyFont="1" applyFill="1" applyBorder="1" applyAlignment="1">
      <alignment wrapText="1"/>
    </xf>
    <xf numFmtId="0" fontId="28" fillId="6" borderId="49" xfId="0" applyFont="1" applyFill="1" applyBorder="1" applyAlignment="1">
      <alignment wrapText="1"/>
    </xf>
    <xf numFmtId="0" fontId="28" fillId="6" borderId="53" xfId="0" applyFont="1" applyFill="1" applyBorder="1" applyAlignment="1">
      <alignment wrapText="1"/>
    </xf>
    <xf numFmtId="0" fontId="30" fillId="6" borderId="53" xfId="0" applyFont="1" applyFill="1" applyBorder="1" applyAlignment="1">
      <alignment wrapText="1"/>
    </xf>
    <xf numFmtId="0" fontId="28" fillId="6" borderId="54" xfId="0" applyFont="1" applyFill="1" applyBorder="1" applyAlignment="1">
      <alignment wrapText="1"/>
    </xf>
    <xf numFmtId="0" fontId="0" fillId="0" borderId="55" xfId="0" applyBorder="1"/>
    <xf numFmtId="0" fontId="33" fillId="4" borderId="19" xfId="0" applyFont="1" applyFill="1" applyBorder="1"/>
    <xf numFmtId="0" fontId="33" fillId="4" borderId="21" xfId="0" applyFont="1" applyFill="1" applyBorder="1"/>
    <xf numFmtId="0" fontId="0" fillId="4" borderId="52" xfId="0" applyFill="1" applyBorder="1"/>
    <xf numFmtId="0" fontId="0" fillId="4" borderId="49" xfId="0" applyFill="1" applyBorder="1"/>
    <xf numFmtId="0" fontId="33" fillId="0" borderId="19" xfId="0" applyFont="1" applyBorder="1"/>
    <xf numFmtId="0" fontId="33" fillId="0" borderId="21" xfId="0" applyFont="1" applyBorder="1"/>
    <xf numFmtId="0" fontId="0" fillId="0" borderId="56" xfId="0" applyBorder="1"/>
    <xf numFmtId="0" fontId="34" fillId="8" borderId="27" xfId="0" applyFont="1" applyFill="1" applyBorder="1" applyAlignment="1">
      <alignment horizontal="right"/>
    </xf>
    <xf numFmtId="0" fontId="0" fillId="8" borderId="29" xfId="0" applyFont="1" applyFill="1" applyBorder="1" applyAlignment="1">
      <alignment horizontal="right"/>
    </xf>
    <xf numFmtId="0" fontId="0" fillId="8" borderId="32" xfId="0" applyFill="1" applyBorder="1"/>
    <xf numFmtId="0" fontId="0" fillId="8" borderId="29" xfId="0" applyFill="1" applyBorder="1"/>
    <xf numFmtId="0" fontId="0" fillId="8" borderId="33" xfId="0" applyFill="1" applyBorder="1"/>
    <xf numFmtId="0" fontId="0" fillId="0" borderId="0" xfId="0" applyBorder="1" applyAlignment="1"/>
    <xf numFmtId="0" fontId="15" fillId="0" borderId="0" xfId="0" applyFont="1" applyBorder="1" applyAlignment="1">
      <alignment horizontal="center" vertical="center" wrapText="1"/>
    </xf>
    <xf numFmtId="0" fontId="13" fillId="7" borderId="0" xfId="0" applyFont="1" applyFill="1" applyBorder="1" applyAlignment="1">
      <alignment horizontal="right" wrapText="1"/>
    </xf>
    <xf numFmtId="0" fontId="0" fillId="7" borderId="0" xfId="0" applyFont="1" applyFill="1" applyBorder="1" applyAlignment="1">
      <alignment horizontal="right" wrapText="1"/>
    </xf>
    <xf numFmtId="0" fontId="0" fillId="7" borderId="0" xfId="0" applyFill="1" applyBorder="1" applyAlignment="1">
      <alignment wrapText="1"/>
    </xf>
    <xf numFmtId="0" fontId="15" fillId="6" borderId="15" xfId="0" applyFont="1" applyFill="1" applyBorder="1" applyAlignment="1">
      <alignment wrapText="1"/>
    </xf>
    <xf numFmtId="0" fontId="15" fillId="6" borderId="11" xfId="0" applyFont="1" applyFill="1" applyBorder="1" applyAlignment="1">
      <alignment wrapText="1"/>
    </xf>
    <xf numFmtId="0" fontId="16" fillId="6" borderId="57" xfId="0" applyFont="1" applyFill="1" applyBorder="1" applyAlignment="1">
      <alignment wrapText="1"/>
    </xf>
    <xf numFmtId="0" fontId="30" fillId="6" borderId="58" xfId="0" applyFont="1" applyFill="1" applyBorder="1" applyAlignment="1">
      <alignment wrapText="1"/>
    </xf>
    <xf numFmtId="0" fontId="28" fillId="6" borderId="15" xfId="0" applyFont="1" applyFill="1" applyBorder="1" applyAlignment="1">
      <alignment wrapText="1"/>
    </xf>
    <xf numFmtId="0" fontId="28" fillId="6" borderId="59" xfId="0" applyFont="1" applyFill="1" applyBorder="1" applyAlignment="1">
      <alignment wrapText="1"/>
    </xf>
    <xf numFmtId="0" fontId="30" fillId="6" borderId="59" xfId="0" applyFont="1" applyFill="1" applyBorder="1" applyAlignment="1">
      <alignment wrapText="1"/>
    </xf>
    <xf numFmtId="0" fontId="28" fillId="6" borderId="60" xfId="0" applyFont="1" applyFill="1" applyBorder="1" applyAlignment="1">
      <alignment wrapText="1"/>
    </xf>
    <xf numFmtId="0" fontId="26" fillId="4" borderId="21" xfId="0" applyFont="1" applyFill="1" applyBorder="1"/>
    <xf numFmtId="0" fontId="0" fillId="8" borderId="61" xfId="0" applyFill="1" applyBorder="1"/>
    <xf numFmtId="0" fontId="0" fillId="4" borderId="53" xfId="0" applyFill="1" applyBorder="1"/>
    <xf numFmtId="0" fontId="0" fillId="4" borderId="54" xfId="0" applyFill="1" applyBorder="1"/>
    <xf numFmtId="0" fontId="26" fillId="0" borderId="21" xfId="0" applyFont="1" applyBorder="1"/>
    <xf numFmtId="0" fontId="13" fillId="8" borderId="27" xfId="0" applyFont="1" applyFill="1" applyBorder="1" applyAlignment="1">
      <alignment horizontal="right"/>
    </xf>
    <xf numFmtId="0" fontId="13" fillId="8" borderId="30" xfId="0" applyFont="1" applyFill="1" applyBorder="1" applyAlignment="1">
      <alignment horizontal="right"/>
    </xf>
    <xf numFmtId="0" fontId="13" fillId="8" borderId="32" xfId="0" applyFont="1" applyFill="1" applyBorder="1" applyAlignment="1">
      <alignment horizontal="right"/>
    </xf>
    <xf numFmtId="0" fontId="0" fillId="8" borderId="28" xfId="0" applyFill="1" applyBorder="1"/>
    <xf numFmtId="0" fontId="21" fillId="0" borderId="0" xfId="0" applyFont="1" applyBorder="1" applyAlignment="1"/>
    <xf numFmtId="0" fontId="13" fillId="7" borderId="0" xfId="0" applyFont="1" applyFill="1" applyBorder="1" applyAlignment="1">
      <alignment horizontal="right"/>
    </xf>
    <xf numFmtId="0" fontId="13" fillId="7" borderId="0" xfId="0" applyFont="1" applyFill="1" applyBorder="1"/>
    <xf numFmtId="0" fontId="11" fillId="9" borderId="0" xfId="0" applyFont="1" applyFill="1"/>
    <xf numFmtId="0" fontId="35" fillId="9" borderId="0" xfId="0" applyFont="1" applyFill="1"/>
    <xf numFmtId="0" fontId="35" fillId="0" borderId="0" xfId="0" applyFont="1" applyFill="1"/>
    <xf numFmtId="0" fontId="13" fillId="0" borderId="0" xfId="0" applyFont="1"/>
    <xf numFmtId="0" fontId="12" fillId="9" borderId="9" xfId="0" applyFont="1" applyFill="1" applyBorder="1" applyAlignment="1">
      <alignment wrapText="1"/>
    </xf>
    <xf numFmtId="0" fontId="36" fillId="9" borderId="10" xfId="0" applyFont="1" applyFill="1" applyBorder="1" applyAlignment="1">
      <alignment wrapText="1"/>
    </xf>
    <xf numFmtId="0" fontId="15" fillId="9" borderId="11" xfId="0" applyFont="1" applyFill="1" applyBorder="1" applyAlignment="1">
      <alignment wrapText="1"/>
    </xf>
    <xf numFmtId="0" fontId="16" fillId="9" borderId="57" xfId="0" applyFont="1" applyFill="1" applyBorder="1" applyAlignment="1">
      <alignment wrapText="1"/>
    </xf>
    <xf numFmtId="0" fontId="15" fillId="9" borderId="62" xfId="0" applyFont="1" applyFill="1" applyBorder="1" applyAlignment="1">
      <alignment wrapText="1"/>
    </xf>
    <xf numFmtId="0" fontId="15" fillId="9" borderId="15" xfId="0" applyFont="1" applyFill="1" applyBorder="1" applyAlignment="1">
      <alignment wrapText="1"/>
    </xf>
    <xf numFmtId="0" fontId="15" fillId="9" borderId="16" xfId="0" applyFont="1" applyFill="1" applyBorder="1" applyAlignment="1">
      <alignment wrapText="1"/>
    </xf>
    <xf numFmtId="0" fontId="0" fillId="4" borderId="61" xfId="0" applyFill="1" applyBorder="1"/>
    <xf numFmtId="0" fontId="0" fillId="4" borderId="56" xfId="0" applyFill="1" applyBorder="1"/>
    <xf numFmtId="0" fontId="0" fillId="0" borderId="61" xfId="0" applyBorder="1"/>
    <xf numFmtId="0" fontId="13" fillId="8" borderId="63" xfId="0" applyFont="1" applyFill="1" applyBorder="1"/>
    <xf numFmtId="0" fontId="11" fillId="10" borderId="0" xfId="0" applyFont="1" applyFill="1"/>
    <xf numFmtId="0" fontId="0" fillId="10" borderId="0" xfId="0" applyFill="1"/>
    <xf numFmtId="0" fontId="0" fillId="7" borderId="0" xfId="0" applyFill="1"/>
    <xf numFmtId="0" fontId="11" fillId="0" borderId="0" xfId="0" applyFont="1" applyFill="1"/>
    <xf numFmtId="0" fontId="29" fillId="11" borderId="48" xfId="0" applyFont="1" applyFill="1" applyBorder="1" applyAlignment="1">
      <alignment horizontal="centerContinuous" wrapText="1"/>
    </xf>
    <xf numFmtId="0" fontId="29" fillId="11" borderId="13" xfId="0" applyFont="1" applyFill="1" applyBorder="1" applyAlignment="1">
      <alignment horizontal="centerContinuous" wrapText="1"/>
    </xf>
    <xf numFmtId="0" fontId="29" fillId="11" borderId="36" xfId="0" applyFont="1" applyFill="1" applyBorder="1" applyAlignment="1">
      <alignment horizontal="centerContinuous" wrapText="1"/>
    </xf>
    <xf numFmtId="0" fontId="0" fillId="7" borderId="0" xfId="0" applyFont="1" applyFill="1" applyBorder="1"/>
    <xf numFmtId="0" fontId="28" fillId="11" borderId="20" xfId="0" applyFont="1" applyFill="1" applyBorder="1" applyAlignment="1">
      <alignment wrapText="1"/>
    </xf>
    <xf numFmtId="0" fontId="28" fillId="11" borderId="21" xfId="0" applyFont="1" applyFill="1" applyBorder="1" applyAlignment="1">
      <alignment wrapText="1"/>
    </xf>
    <xf numFmtId="0" fontId="30" fillId="11" borderId="52" xfId="0" applyFont="1" applyFill="1" applyBorder="1" applyAlignment="1">
      <alignment wrapText="1"/>
    </xf>
    <xf numFmtId="0" fontId="39" fillId="11" borderId="49" xfId="0" applyFont="1" applyFill="1" applyBorder="1" applyAlignment="1">
      <alignment wrapText="1"/>
    </xf>
    <xf numFmtId="0" fontId="28" fillId="11" borderId="49" xfId="0" applyFont="1" applyFill="1" applyBorder="1" applyAlignment="1">
      <alignment wrapText="1"/>
    </xf>
    <xf numFmtId="0" fontId="28" fillId="11" borderId="53" xfId="0" applyFont="1" applyFill="1" applyBorder="1" applyAlignment="1">
      <alignment wrapText="1"/>
    </xf>
    <xf numFmtId="0" fontId="30" fillId="11" borderId="53" xfId="0" applyFont="1" applyFill="1" applyBorder="1" applyAlignment="1">
      <alignment wrapText="1"/>
    </xf>
    <xf numFmtId="0" fontId="28" fillId="11" borderId="54" xfId="0" applyFont="1" applyFill="1" applyBorder="1" applyAlignment="1">
      <alignment wrapText="1"/>
    </xf>
    <xf numFmtId="0" fontId="0" fillId="4" borderId="56" xfId="0" applyFont="1" applyFill="1" applyBorder="1"/>
    <xf numFmtId="0" fontId="0" fillId="4" borderId="21" xfId="0" applyFont="1" applyFill="1" applyBorder="1"/>
    <xf numFmtId="0" fontId="0" fillId="4" borderId="24" xfId="0" applyFont="1" applyFill="1" applyBorder="1"/>
    <xf numFmtId="0" fontId="0" fillId="0" borderId="56" xfId="0" applyFont="1" applyBorder="1"/>
    <xf numFmtId="0" fontId="0" fillId="0" borderId="21" xfId="0" applyFont="1" applyBorder="1"/>
    <xf numFmtId="0" fontId="0" fillId="0" borderId="24" xfId="0" applyFont="1" applyBorder="1"/>
    <xf numFmtId="0" fontId="0" fillId="8" borderId="32" xfId="0" applyFont="1" applyFill="1" applyBorder="1"/>
    <xf numFmtId="0" fontId="0" fillId="8" borderId="29" xfId="0" applyFont="1" applyFill="1" applyBorder="1"/>
    <xf numFmtId="0" fontId="0" fillId="8" borderId="33" xfId="0" applyFont="1" applyFill="1" applyBorder="1"/>
    <xf numFmtId="0" fontId="0" fillId="0" borderId="0" xfId="0" applyBorder="1" applyAlignment="1">
      <alignment horizontal="left" vertical="center" wrapText="1"/>
    </xf>
    <xf numFmtId="0" fontId="13" fillId="0" borderId="0" xfId="0" applyFont="1" applyBorder="1" applyAlignment="1">
      <alignment horizontal="right"/>
    </xf>
    <xf numFmtId="0" fontId="0" fillId="0" borderId="0" xfId="0" applyFont="1" applyBorder="1"/>
    <xf numFmtId="0" fontId="41" fillId="0" borderId="0" xfId="0" applyFont="1" applyFill="1"/>
    <xf numFmtId="0" fontId="29" fillId="0" borderId="0" xfId="0" applyFont="1" applyFill="1"/>
    <xf numFmtId="0" fontId="28" fillId="11" borderId="46" xfId="0" applyFont="1" applyFill="1" applyBorder="1" applyAlignment="1">
      <alignment horizontal="center" wrapText="1"/>
    </xf>
    <xf numFmtId="0" fontId="28" fillId="11" borderId="12" xfId="0" applyFont="1" applyFill="1" applyBorder="1" applyAlignment="1">
      <alignment horizontal="centerContinuous" wrapText="1"/>
    </xf>
    <xf numFmtId="0" fontId="28" fillId="11" borderId="13" xfId="0" applyFont="1" applyFill="1" applyBorder="1" applyAlignment="1">
      <alignment horizontal="centerContinuous" wrapText="1"/>
    </xf>
    <xf numFmtId="0" fontId="28" fillId="11" borderId="57" xfId="0" applyFont="1" applyFill="1" applyBorder="1" applyAlignment="1">
      <alignment horizontal="centerContinuous" wrapText="1"/>
    </xf>
    <xf numFmtId="0" fontId="28" fillId="11" borderId="50" xfId="0" applyFont="1" applyFill="1" applyBorder="1" applyAlignment="1">
      <alignment horizontal="center" wrapText="1"/>
    </xf>
    <xf numFmtId="0" fontId="15" fillId="11" borderId="21" xfId="0" applyFont="1" applyFill="1" applyBorder="1" applyAlignment="1">
      <alignment wrapText="1"/>
    </xf>
    <xf numFmtId="0" fontId="29" fillId="11" borderId="64" xfId="0" applyFont="1" applyFill="1" applyBorder="1" applyAlignment="1">
      <alignment wrapText="1"/>
    </xf>
    <xf numFmtId="0" fontId="0" fillId="8" borderId="64" xfId="0" applyFont="1" applyFill="1" applyBorder="1"/>
    <xf numFmtId="0" fontId="34" fillId="8" borderId="65" xfId="0" applyFont="1" applyFill="1" applyBorder="1"/>
    <xf numFmtId="0" fontId="15" fillId="0" borderId="0" xfId="0" applyFont="1" applyFill="1" applyBorder="1" applyAlignment="1">
      <alignment horizontal="left" vertical="center" wrapText="1"/>
    </xf>
    <xf numFmtId="0" fontId="13" fillId="0" borderId="0" xfId="0" applyFont="1" applyFill="1" applyBorder="1"/>
    <xf numFmtId="0" fontId="0" fillId="0" borderId="0" xfId="0" applyFont="1" applyFill="1" applyBorder="1"/>
    <xf numFmtId="0" fontId="11" fillId="12" borderId="0" xfId="0" applyFont="1" applyFill="1"/>
    <xf numFmtId="0" fontId="0" fillId="12" borderId="0" xfId="0" applyFill="1"/>
    <xf numFmtId="0" fontId="15" fillId="0" borderId="0" xfId="0" applyFont="1" applyBorder="1" applyAlignment="1">
      <alignment horizontal="left"/>
    </xf>
    <xf numFmtId="0" fontId="28" fillId="12" borderId="66" xfId="0" applyFont="1" applyFill="1" applyBorder="1" applyAlignment="1">
      <alignment horizontal="centerContinuous" wrapText="1"/>
    </xf>
    <xf numFmtId="0" fontId="28" fillId="12" borderId="67" xfId="0" applyFont="1" applyFill="1" applyBorder="1" applyAlignment="1">
      <alignment horizontal="centerContinuous" wrapText="1"/>
    </xf>
    <xf numFmtId="0" fontId="28" fillId="12" borderId="68" xfId="0" applyFont="1" applyFill="1" applyBorder="1" applyAlignment="1">
      <alignment horizontal="centerContinuous" wrapText="1"/>
    </xf>
    <xf numFmtId="0" fontId="29" fillId="12" borderId="53" xfId="0" applyFont="1" applyFill="1" applyBorder="1" applyAlignment="1">
      <alignment wrapText="1"/>
    </xf>
    <xf numFmtId="0" fontId="30" fillId="12" borderId="53" xfId="0" applyFont="1" applyFill="1" applyBorder="1" applyAlignment="1">
      <alignment wrapText="1"/>
    </xf>
    <xf numFmtId="0" fontId="29" fillId="12" borderId="49" xfId="0" applyFont="1" applyFill="1" applyBorder="1" applyAlignment="1">
      <alignment wrapText="1"/>
    </xf>
    <xf numFmtId="0" fontId="29" fillId="12" borderId="50" xfId="0" applyFont="1" applyFill="1" applyBorder="1" applyAlignment="1">
      <alignment wrapText="1"/>
    </xf>
    <xf numFmtId="0" fontId="28" fillId="12" borderId="53" xfId="0" applyFont="1" applyFill="1" applyBorder="1" applyAlignment="1">
      <alignment wrapText="1"/>
    </xf>
    <xf numFmtId="0" fontId="39" fillId="12" borderId="50" xfId="0" applyFont="1" applyFill="1" applyBorder="1" applyAlignment="1">
      <alignment wrapText="1"/>
    </xf>
    <xf numFmtId="0" fontId="28" fillId="12" borderId="70" xfId="0" applyFont="1" applyFill="1" applyBorder="1" applyAlignment="1">
      <alignment wrapText="1"/>
    </xf>
    <xf numFmtId="0" fontId="0" fillId="8" borderId="19" xfId="0" applyFont="1" applyFill="1" applyBorder="1"/>
    <xf numFmtId="0" fontId="0" fillId="4" borderId="20" xfId="0" applyFont="1" applyFill="1" applyBorder="1"/>
    <xf numFmtId="0" fontId="0" fillId="4" borderId="19" xfId="0" applyFont="1" applyFill="1" applyBorder="1"/>
    <xf numFmtId="0" fontId="0" fillId="4" borderId="61" xfId="0" applyFont="1" applyFill="1" applyBorder="1"/>
    <xf numFmtId="0" fontId="0" fillId="0" borderId="20" xfId="0" applyFont="1" applyBorder="1"/>
    <xf numFmtId="0" fontId="0" fillId="0" borderId="19" xfId="0" applyFont="1" applyBorder="1"/>
    <xf numFmtId="0" fontId="0" fillId="0" borderId="61" xfId="0" applyFont="1" applyBorder="1"/>
    <xf numFmtId="0" fontId="0" fillId="8" borderId="27" xfId="0" applyFill="1" applyBorder="1"/>
    <xf numFmtId="0" fontId="0" fillId="8" borderId="28" xfId="0" applyFont="1" applyFill="1" applyBorder="1"/>
    <xf numFmtId="0" fontId="0" fillId="8" borderId="27" xfId="0" applyFont="1" applyFill="1" applyBorder="1"/>
    <xf numFmtId="0" fontId="0" fillId="8" borderId="63" xfId="0" applyFont="1" applyFill="1" applyBorder="1"/>
    <xf numFmtId="0" fontId="28" fillId="0" borderId="0" xfId="0" applyFont="1"/>
    <xf numFmtId="0" fontId="28" fillId="12" borderId="13" xfId="0" applyFont="1" applyFill="1" applyBorder="1" applyAlignment="1">
      <alignment horizontal="centerContinuous" wrapText="1"/>
    </xf>
    <xf numFmtId="0" fontId="28" fillId="12" borderId="72" xfId="0" applyFont="1" applyFill="1" applyBorder="1" applyAlignment="1">
      <alignment horizontal="centerContinuous" wrapText="1"/>
    </xf>
    <xf numFmtId="0" fontId="28" fillId="12" borderId="36" xfId="0" applyFont="1" applyFill="1" applyBorder="1" applyAlignment="1">
      <alignment horizontal="centerContinuous" wrapText="1"/>
    </xf>
    <xf numFmtId="0" fontId="28" fillId="12" borderId="20" xfId="0" applyFont="1" applyFill="1" applyBorder="1" applyAlignment="1">
      <alignment wrapText="1"/>
    </xf>
    <xf numFmtId="0" fontId="28" fillId="12" borderId="21" xfId="0" applyFont="1" applyFill="1" applyBorder="1" applyAlignment="1">
      <alignment wrapText="1"/>
    </xf>
    <xf numFmtId="0" fontId="28" fillId="12" borderId="22" xfId="0" applyFont="1" applyFill="1" applyBorder="1" applyAlignment="1">
      <alignment wrapText="1"/>
    </xf>
    <xf numFmtId="0" fontId="29" fillId="12" borderId="19" xfId="0" applyFont="1" applyFill="1" applyBorder="1" applyAlignment="1">
      <alignment wrapText="1"/>
    </xf>
    <xf numFmtId="0" fontId="28" fillId="12" borderId="24" xfId="0" applyFont="1" applyFill="1" applyBorder="1" applyAlignment="1">
      <alignment wrapText="1"/>
    </xf>
    <xf numFmtId="0" fontId="33" fillId="4" borderId="64" xfId="0" applyFont="1" applyFill="1" applyBorder="1"/>
    <xf numFmtId="0" fontId="33" fillId="0" borderId="64" xfId="0" applyFont="1" applyBorder="1"/>
    <xf numFmtId="0" fontId="34" fillId="8" borderId="65" xfId="0" applyFont="1" applyFill="1" applyBorder="1" applyAlignment="1">
      <alignment horizontal="right"/>
    </xf>
    <xf numFmtId="0" fontId="34" fillId="8" borderId="33" xfId="0" applyFont="1" applyFill="1" applyBorder="1"/>
    <xf numFmtId="0" fontId="28" fillId="0" borderId="0" xfId="0" applyFont="1" applyBorder="1" applyAlignment="1">
      <alignment horizontal="left"/>
    </xf>
    <xf numFmtId="0" fontId="28" fillId="0" borderId="0" xfId="0" applyFont="1" applyBorder="1" applyAlignment="1">
      <alignment horizontal="center" vertical="center" wrapText="1"/>
    </xf>
    <xf numFmtId="0" fontId="34" fillId="7" borderId="55" xfId="0" applyFont="1" applyFill="1" applyBorder="1" applyAlignment="1">
      <alignment horizontal="right"/>
    </xf>
    <xf numFmtId="0" fontId="0" fillId="7" borderId="43" xfId="0" applyFont="1" applyFill="1" applyBorder="1"/>
    <xf numFmtId="0" fontId="34" fillId="7" borderId="0" xfId="0" applyFont="1" applyFill="1" applyBorder="1"/>
    <xf numFmtId="0" fontId="0" fillId="0" borderId="74" xfId="0" applyBorder="1"/>
    <xf numFmtId="0" fontId="46" fillId="12" borderId="35" xfId="0" applyFont="1" applyFill="1" applyBorder="1" applyAlignment="1">
      <alignment horizontal="left" wrapText="1"/>
    </xf>
    <xf numFmtId="0" fontId="31" fillId="12" borderId="15" xfId="0" applyFont="1" applyFill="1" applyBorder="1" applyAlignment="1">
      <alignment horizontal="left" vertical="center" wrapText="1"/>
    </xf>
    <xf numFmtId="0" fontId="34" fillId="12" borderId="75" xfId="0" applyFont="1" applyFill="1" applyBorder="1" applyAlignment="1">
      <alignment horizontal="right"/>
    </xf>
    <xf numFmtId="0" fontId="0" fillId="12" borderId="15" xfId="0" applyFont="1" applyFill="1" applyBorder="1" applyAlignment="1">
      <alignment wrapText="1"/>
    </xf>
    <xf numFmtId="0" fontId="0" fillId="12" borderId="13" xfId="0" applyFont="1" applyFill="1" applyBorder="1" applyAlignment="1">
      <alignment wrapText="1"/>
    </xf>
    <xf numFmtId="0" fontId="0" fillId="12" borderId="16" xfId="0" applyFont="1" applyFill="1" applyBorder="1" applyAlignment="1">
      <alignment wrapText="1"/>
    </xf>
    <xf numFmtId="0" fontId="34" fillId="12" borderId="76" xfId="0" applyFont="1" applyFill="1" applyBorder="1" applyAlignment="1">
      <alignment wrapText="1"/>
    </xf>
    <xf numFmtId="0" fontId="0" fillId="0" borderId="37" xfId="0" applyBorder="1"/>
    <xf numFmtId="0" fontId="34" fillId="4" borderId="20" xfId="0" applyFont="1" applyFill="1" applyBorder="1" applyAlignment="1">
      <alignment horizontal="right"/>
    </xf>
    <xf numFmtId="0" fontId="34" fillId="4" borderId="79" xfId="0" applyFont="1" applyFill="1" applyBorder="1"/>
    <xf numFmtId="0" fontId="0" fillId="4" borderId="80" xfId="0" applyFill="1" applyBorder="1"/>
    <xf numFmtId="0" fontId="34" fillId="7" borderId="20" xfId="0" applyFont="1" applyFill="1" applyBorder="1" applyAlignment="1">
      <alignment horizontal="right"/>
    </xf>
    <xf numFmtId="0" fontId="0" fillId="7" borderId="21" xfId="0" applyFont="1" applyFill="1" applyBorder="1"/>
    <xf numFmtId="0" fontId="0" fillId="7" borderId="24" xfId="0" applyFont="1" applyFill="1" applyBorder="1"/>
    <xf numFmtId="0" fontId="34" fillId="7" borderId="80" xfId="0" applyFont="1" applyFill="1" applyBorder="1"/>
    <xf numFmtId="0" fontId="0" fillId="0" borderId="79" xfId="0" applyBorder="1"/>
    <xf numFmtId="0" fontId="34" fillId="7" borderId="79" xfId="0" applyFont="1" applyFill="1" applyBorder="1"/>
    <xf numFmtId="0" fontId="0" fillId="0" borderId="82" xfId="0" applyBorder="1"/>
    <xf numFmtId="0" fontId="34" fillId="7" borderId="82" xfId="0" applyFont="1" applyFill="1" applyBorder="1"/>
    <xf numFmtId="0" fontId="34" fillId="7" borderId="83" xfId="0" applyFont="1" applyFill="1" applyBorder="1" applyAlignment="1">
      <alignment horizontal="right"/>
    </xf>
    <xf numFmtId="0" fontId="0" fillId="7" borderId="83" xfId="0" applyFont="1" applyFill="1" applyBorder="1"/>
    <xf numFmtId="0" fontId="0" fillId="0" borderId="80" xfId="0" applyBorder="1"/>
    <xf numFmtId="0" fontId="34" fillId="8" borderId="85" xfId="0" applyFont="1" applyFill="1" applyBorder="1" applyAlignment="1">
      <alignment horizontal="right"/>
    </xf>
    <xf numFmtId="0" fontId="0" fillId="8" borderId="74" xfId="0" applyFont="1" applyFill="1" applyBorder="1"/>
    <xf numFmtId="0" fontId="34" fillId="8" borderId="86" xfId="0" applyFont="1" applyFill="1" applyBorder="1"/>
    <xf numFmtId="0" fontId="0" fillId="8" borderId="87" xfId="0" applyFill="1" applyBorder="1"/>
    <xf numFmtId="0" fontId="15" fillId="0" borderId="0" xfId="0" applyFont="1" applyFill="1" applyBorder="1" applyAlignment="1">
      <alignment horizontal="left"/>
    </xf>
    <xf numFmtId="0" fontId="11" fillId="13" borderId="0" xfId="0" applyFont="1" applyFill="1"/>
    <xf numFmtId="0" fontId="0" fillId="13" borderId="0" xfId="0" applyFill="1"/>
    <xf numFmtId="0" fontId="11" fillId="0" borderId="0" xfId="0" applyFont="1"/>
    <xf numFmtId="0" fontId="28" fillId="13" borderId="12" xfId="0" applyFont="1" applyFill="1" applyBorder="1" applyAlignment="1">
      <alignment horizontal="centerContinuous" wrapText="1"/>
    </xf>
    <xf numFmtId="0" fontId="28" fillId="13" borderId="13" xfId="0" applyFont="1" applyFill="1" applyBorder="1" applyAlignment="1">
      <alignment horizontal="centerContinuous" wrapText="1"/>
    </xf>
    <xf numFmtId="0" fontId="28" fillId="13" borderId="72" xfId="0" applyFont="1" applyFill="1" applyBorder="1" applyAlignment="1">
      <alignment horizontal="centerContinuous" wrapText="1"/>
    </xf>
    <xf numFmtId="0" fontId="28" fillId="13" borderId="57" xfId="0" applyFont="1" applyFill="1" applyBorder="1" applyAlignment="1">
      <alignment wrapText="1"/>
    </xf>
    <xf numFmtId="0" fontId="28" fillId="13" borderId="53" xfId="0" applyFont="1" applyFill="1" applyBorder="1" applyAlignment="1">
      <alignment wrapText="1"/>
    </xf>
    <xf numFmtId="0" fontId="28" fillId="13" borderId="49" xfId="0" applyFont="1" applyFill="1" applyBorder="1" applyAlignment="1">
      <alignment wrapText="1"/>
    </xf>
    <xf numFmtId="0" fontId="29" fillId="13" borderId="19" xfId="0" applyFont="1" applyFill="1" applyBorder="1" applyAlignment="1">
      <alignment wrapText="1"/>
    </xf>
    <xf numFmtId="0" fontId="16" fillId="13" borderId="70" xfId="0" applyFont="1" applyFill="1" applyBorder="1" applyAlignment="1">
      <alignment wrapText="1"/>
    </xf>
    <xf numFmtId="0" fontId="15" fillId="13" borderId="62" xfId="0" applyFont="1" applyFill="1" applyBorder="1" applyAlignment="1">
      <alignment wrapText="1"/>
    </xf>
    <xf numFmtId="0" fontId="15" fillId="13" borderId="15" xfId="0" applyFont="1" applyFill="1" applyBorder="1" applyAlignment="1">
      <alignment wrapText="1"/>
    </xf>
    <xf numFmtId="0" fontId="15" fillId="13" borderId="16" xfId="0" applyFont="1" applyFill="1" applyBorder="1" applyAlignment="1">
      <alignment wrapText="1"/>
    </xf>
    <xf numFmtId="0" fontId="0" fillId="8" borderId="19" xfId="0" applyFill="1" applyBorder="1"/>
    <xf numFmtId="0" fontId="0" fillId="8" borderId="63" xfId="0" applyFill="1" applyBorder="1"/>
    <xf numFmtId="0" fontId="15" fillId="13" borderId="21" xfId="0" applyFont="1" applyFill="1" applyBorder="1" applyAlignment="1">
      <alignment wrapText="1"/>
    </xf>
    <xf numFmtId="0" fontId="16" fillId="13" borderId="64" xfId="0" applyFont="1" applyFill="1" applyBorder="1" applyAlignment="1">
      <alignment wrapText="1"/>
    </xf>
    <xf numFmtId="0" fontId="15" fillId="13" borderId="20" xfId="0" applyFont="1" applyFill="1" applyBorder="1" applyAlignment="1">
      <alignment wrapText="1"/>
    </xf>
    <xf numFmtId="0" fontId="15" fillId="13" borderId="24" xfId="0" applyFont="1" applyFill="1" applyBorder="1" applyAlignment="1">
      <alignment wrapText="1"/>
    </xf>
    <xf numFmtId="0" fontId="26" fillId="4" borderId="50" xfId="0" applyFont="1" applyFill="1" applyBorder="1"/>
    <xf numFmtId="0" fontId="0" fillId="8" borderId="73" xfId="0" applyFill="1" applyBorder="1"/>
    <xf numFmtId="0" fontId="0" fillId="8" borderId="65" xfId="0" applyFill="1" applyBorder="1"/>
    <xf numFmtId="0" fontId="11" fillId="14" borderId="0" xfId="0" applyFont="1" applyFill="1"/>
    <xf numFmtId="0" fontId="0" fillId="14" borderId="0" xfId="0" applyFill="1"/>
    <xf numFmtId="0" fontId="13" fillId="14" borderId="0" xfId="0" applyFont="1" applyFill="1"/>
    <xf numFmtId="0" fontId="12" fillId="14" borderId="9" xfId="0" applyFont="1" applyFill="1" applyBorder="1" applyAlignment="1">
      <alignment wrapText="1"/>
    </xf>
    <xf numFmtId="0" fontId="12" fillId="14" borderId="15" xfId="0" applyFont="1" applyFill="1" applyBorder="1" applyAlignment="1">
      <alignment wrapText="1"/>
    </xf>
    <xf numFmtId="0" fontId="15" fillId="14" borderId="11" xfId="0" applyFont="1" applyFill="1" applyBorder="1" applyAlignment="1">
      <alignment wrapText="1"/>
    </xf>
    <xf numFmtId="0" fontId="15" fillId="14" borderId="39" xfId="0" applyFont="1" applyFill="1" applyBorder="1" applyAlignment="1">
      <alignment wrapText="1"/>
    </xf>
    <xf numFmtId="0" fontId="15" fillId="14" borderId="15" xfId="0" applyFont="1" applyFill="1" applyBorder="1" applyAlignment="1">
      <alignment wrapText="1"/>
    </xf>
    <xf numFmtId="0" fontId="15" fillId="14" borderId="13" xfId="0" applyFont="1" applyFill="1" applyBorder="1" applyAlignment="1">
      <alignment wrapText="1"/>
    </xf>
    <xf numFmtId="0" fontId="15" fillId="14" borderId="88" xfId="0" applyFont="1" applyFill="1" applyBorder="1" applyAlignment="1">
      <alignment wrapText="1"/>
    </xf>
    <xf numFmtId="0" fontId="15" fillId="14" borderId="89" xfId="0" applyFont="1" applyFill="1" applyBorder="1" applyAlignment="1">
      <alignment wrapText="1"/>
    </xf>
    <xf numFmtId="0" fontId="15" fillId="14" borderId="16" xfId="0" applyFont="1" applyFill="1" applyBorder="1" applyAlignment="1">
      <alignment wrapText="1"/>
    </xf>
    <xf numFmtId="0" fontId="0" fillId="4" borderId="90" xfId="0" applyFill="1" applyBorder="1"/>
    <xf numFmtId="0" fontId="0" fillId="4" borderId="91" xfId="0" applyFill="1" applyBorder="1"/>
    <xf numFmtId="0" fontId="0" fillId="4" borderId="92" xfId="0" applyFill="1" applyBorder="1"/>
    <xf numFmtId="0" fontId="0" fillId="0" borderId="90" xfId="0" applyBorder="1"/>
    <xf numFmtId="0" fontId="0" fillId="0" borderId="91" xfId="0" applyBorder="1"/>
    <xf numFmtId="0" fontId="0" fillId="0" borderId="92" xfId="0" applyBorder="1"/>
    <xf numFmtId="0" fontId="0" fillId="0" borderId="93" xfId="0" applyBorder="1"/>
    <xf numFmtId="0" fontId="0" fillId="0" borderId="78" xfId="0" applyBorder="1"/>
    <xf numFmtId="0" fontId="0" fillId="0" borderId="94" xfId="0" applyBorder="1"/>
    <xf numFmtId="0" fontId="0" fillId="0" borderId="83" xfId="0" applyBorder="1"/>
    <xf numFmtId="0" fontId="0" fillId="0" borderId="95" xfId="0" applyBorder="1"/>
    <xf numFmtId="0" fontId="0" fillId="0" borderId="96" xfId="0" applyBorder="1"/>
    <xf numFmtId="0" fontId="0" fillId="0" borderId="97" xfId="0" applyBorder="1"/>
    <xf numFmtId="0" fontId="0" fillId="8" borderId="85" xfId="0" applyFill="1" applyBorder="1"/>
    <xf numFmtId="0" fontId="0" fillId="8" borderId="98" xfId="0" applyFill="1" applyBorder="1"/>
    <xf numFmtId="0" fontId="0" fillId="8" borderId="99" xfId="0" applyFill="1" applyBorder="1"/>
    <xf numFmtId="0" fontId="12" fillId="11" borderId="9" xfId="0" applyFont="1" applyFill="1" applyBorder="1" applyAlignment="1">
      <alignment horizontal="left" vertical="center" wrapText="1"/>
    </xf>
    <xf numFmtId="0" fontId="24" fillId="11" borderId="15" xfId="0" applyFont="1" applyFill="1" applyBorder="1" applyAlignment="1">
      <alignment wrapText="1"/>
    </xf>
    <xf numFmtId="0" fontId="15" fillId="11" borderId="11" xfId="0" applyFont="1" applyFill="1" applyBorder="1" applyAlignment="1">
      <alignment wrapText="1"/>
    </xf>
    <xf numFmtId="0" fontId="15" fillId="11" borderId="15" xfId="0" applyFont="1" applyFill="1" applyBorder="1" applyAlignment="1">
      <alignment wrapText="1"/>
    </xf>
    <xf numFmtId="0" fontId="15" fillId="11" borderId="16" xfId="0" applyFont="1" applyFill="1" applyBorder="1" applyAlignment="1">
      <alignment wrapText="1"/>
    </xf>
    <xf numFmtId="0" fontId="26" fillId="0" borderId="24" xfId="0" applyFont="1" applyBorder="1"/>
    <xf numFmtId="4" fontId="0" fillId="0" borderId="0" xfId="0" applyNumberFormat="1"/>
    <xf numFmtId="4" fontId="26" fillId="0" borderId="21" xfId="0" applyNumberFormat="1" applyFont="1" applyBorder="1"/>
    <xf numFmtId="0" fontId="0" fillId="0" borderId="0" xfId="0" applyFont="1"/>
    <xf numFmtId="0" fontId="26" fillId="0" borderId="21" xfId="0" applyFont="1" applyBorder="1" applyAlignment="1">
      <alignment wrapText="1"/>
    </xf>
    <xf numFmtId="0" fontId="0" fillId="0" borderId="42" xfId="0" applyBorder="1"/>
    <xf numFmtId="4" fontId="13" fillId="5" borderId="29" xfId="0" applyNumberFormat="1" applyFont="1" applyFill="1" applyBorder="1" applyAlignment="1">
      <alignment horizontal="right"/>
    </xf>
    <xf numFmtId="0" fontId="13" fillId="5" borderId="29" xfId="0" applyFont="1" applyFill="1" applyBorder="1" applyAlignment="1">
      <alignment horizontal="right"/>
    </xf>
    <xf numFmtId="0" fontId="51" fillId="0" borderId="0" xfId="0" applyFont="1"/>
    <xf numFmtId="0" fontId="12" fillId="3" borderId="18" xfId="0" applyFont="1" applyFill="1" applyBorder="1" applyAlignment="1">
      <alignment horizontal="center" wrapText="1"/>
    </xf>
    <xf numFmtId="0" fontId="0" fillId="7" borderId="20" xfId="0" applyFont="1" applyFill="1" applyBorder="1"/>
    <xf numFmtId="0" fontId="0" fillId="5" borderId="22" xfId="0" applyFont="1" applyFill="1" applyBorder="1"/>
    <xf numFmtId="0" fontId="0" fillId="7" borderId="23" xfId="0" applyFont="1" applyFill="1" applyBorder="1"/>
    <xf numFmtId="0" fontId="0" fillId="7" borderId="21" xfId="0" applyFill="1" applyBorder="1"/>
    <xf numFmtId="0" fontId="0" fillId="7" borderId="24" xfId="0" applyFill="1" applyBorder="1"/>
    <xf numFmtId="0" fontId="0" fillId="15" borderId="22" xfId="0" applyFont="1" applyFill="1" applyBorder="1"/>
    <xf numFmtId="0" fontId="55" fillId="7" borderId="21" xfId="0" applyFont="1" applyFill="1" applyBorder="1"/>
    <xf numFmtId="0" fontId="55" fillId="7" borderId="24" xfId="0" applyFont="1" applyFill="1" applyBorder="1"/>
    <xf numFmtId="0" fontId="0" fillId="0" borderId="23" xfId="0" applyFont="1" applyBorder="1"/>
    <xf numFmtId="0" fontId="56" fillId="0" borderId="21" xfId="0" applyFont="1" applyBorder="1"/>
    <xf numFmtId="0" fontId="57" fillId="2" borderId="24" xfId="0" applyFont="1" applyFill="1" applyBorder="1"/>
    <xf numFmtId="0" fontId="0" fillId="0" borderId="0" xfId="0" applyFill="1" applyBorder="1" applyAlignment="1">
      <alignment wrapText="1"/>
    </xf>
    <xf numFmtId="0" fontId="12" fillId="3" borderId="100" xfId="0" applyFont="1" applyFill="1" applyBorder="1" applyAlignment="1">
      <alignment wrapText="1"/>
    </xf>
    <xf numFmtId="0" fontId="0" fillId="7" borderId="23" xfId="0" applyFill="1" applyBorder="1"/>
    <xf numFmtId="0" fontId="55" fillId="7" borderId="0" xfId="0" applyFont="1" applyFill="1"/>
    <xf numFmtId="0" fontId="0" fillId="5" borderId="24" xfId="0" applyFont="1" applyFill="1" applyBorder="1"/>
    <xf numFmtId="0" fontId="58" fillId="6" borderId="9" xfId="0" applyFont="1" applyFill="1" applyBorder="1"/>
    <xf numFmtId="0" fontId="58" fillId="6" borderId="10" xfId="0" applyFont="1" applyFill="1" applyBorder="1" applyAlignment="1">
      <alignment horizontal="center" wrapText="1"/>
    </xf>
    <xf numFmtId="0" fontId="59" fillId="6" borderId="11" xfId="0" applyFont="1" applyFill="1" applyBorder="1"/>
    <xf numFmtId="0" fontId="59" fillId="6" borderId="39" xfId="0" applyFont="1" applyFill="1" applyBorder="1" applyAlignment="1">
      <alignment horizontal="center" wrapText="1"/>
    </xf>
    <xf numFmtId="0" fontId="59" fillId="6" borderId="34" xfId="0" applyFont="1" applyFill="1" applyBorder="1" applyAlignment="1">
      <alignment horizontal="center" wrapText="1"/>
    </xf>
    <xf numFmtId="0" fontId="15" fillId="7" borderId="101" xfId="0" applyFont="1" applyFill="1" applyBorder="1" applyAlignment="1">
      <alignment wrapText="1"/>
    </xf>
    <xf numFmtId="0" fontId="60" fillId="4" borderId="19" xfId="0" applyFont="1" applyFill="1" applyBorder="1"/>
    <xf numFmtId="0" fontId="57" fillId="4" borderId="20" xfId="0" applyFont="1" applyFill="1" applyBorder="1"/>
    <xf numFmtId="0" fontId="57" fillId="4" borderId="22" xfId="0" applyFont="1" applyFill="1" applyBorder="1"/>
    <xf numFmtId="0" fontId="0" fillId="0" borderId="101" xfId="0" applyBorder="1"/>
    <xf numFmtId="0" fontId="60" fillId="0" borderId="19" xfId="0" applyFont="1" applyBorder="1"/>
    <xf numFmtId="0" fontId="57" fillId="7" borderId="20" xfId="0" applyFont="1" applyFill="1" applyBorder="1"/>
    <xf numFmtId="0" fontId="57" fillId="7" borderId="22" xfId="0" applyFont="1" applyFill="1" applyBorder="1"/>
    <xf numFmtId="0" fontId="57" fillId="7" borderId="0" xfId="0" applyFont="1" applyFill="1"/>
    <xf numFmtId="0" fontId="0" fillId="7" borderId="101" xfId="0" applyFill="1" applyBorder="1"/>
    <xf numFmtId="0" fontId="57" fillId="0" borderId="20" xfId="0" applyFont="1" applyBorder="1"/>
    <xf numFmtId="0" fontId="57" fillId="0" borderId="22" xfId="0" applyFont="1" applyBorder="1"/>
    <xf numFmtId="0" fontId="61" fillId="5" borderId="27" xfId="0" applyFont="1" applyFill="1" applyBorder="1" applyAlignment="1">
      <alignment horizontal="right"/>
    </xf>
    <xf numFmtId="0" fontId="57" fillId="5" borderId="28" xfId="0" applyFont="1" applyFill="1" applyBorder="1"/>
    <xf numFmtId="0" fontId="57" fillId="5" borderId="30" xfId="0" applyFont="1" applyFill="1" applyBorder="1"/>
    <xf numFmtId="0" fontId="12" fillId="6" borderId="10" xfId="0" applyFont="1" applyFill="1" applyBorder="1" applyAlignment="1">
      <alignment horizontal="center" wrapText="1"/>
    </xf>
    <xf numFmtId="0" fontId="12" fillId="6" borderId="78" xfId="0" applyFont="1" applyFill="1" applyBorder="1" applyAlignment="1">
      <alignment horizontal="center" wrapText="1"/>
    </xf>
    <xf numFmtId="0" fontId="57" fillId="7" borderId="21" xfId="0" applyFont="1" applyFill="1" applyBorder="1"/>
    <xf numFmtId="0" fontId="57" fillId="7" borderId="56" xfId="0" applyFont="1" applyFill="1" applyBorder="1"/>
    <xf numFmtId="0" fontId="57" fillId="7" borderId="24" xfId="0" applyFont="1" applyFill="1" applyBorder="1"/>
    <xf numFmtId="0" fontId="57" fillId="0" borderId="0" xfId="0" applyFont="1" applyBorder="1"/>
    <xf numFmtId="0" fontId="57" fillId="0" borderId="21" xfId="0" applyFont="1" applyBorder="1"/>
    <xf numFmtId="0" fontId="57" fillId="0" borderId="56" xfId="0" applyFont="1" applyBorder="1"/>
    <xf numFmtId="0" fontId="57" fillId="0" borderId="24" xfId="0" applyFont="1" applyBorder="1"/>
    <xf numFmtId="0" fontId="57" fillId="7" borderId="0" xfId="0" applyFont="1" applyFill="1" applyBorder="1"/>
    <xf numFmtId="0" fontId="63" fillId="4" borderId="19" xfId="0" applyFont="1" applyFill="1" applyBorder="1"/>
    <xf numFmtId="0" fontId="63" fillId="4" borderId="21" xfId="0" applyFont="1" applyFill="1" applyBorder="1"/>
    <xf numFmtId="0" fontId="0" fillId="8" borderId="61" xfId="0" applyFont="1" applyFill="1" applyBorder="1"/>
    <xf numFmtId="0" fontId="0" fillId="4" borderId="53" xfId="0" applyFont="1" applyFill="1" applyBorder="1"/>
    <xf numFmtId="0" fontId="0" fillId="4" borderId="49" xfId="0" applyFont="1" applyFill="1" applyBorder="1"/>
    <xf numFmtId="0" fontId="0" fillId="4" borderId="54" xfId="0" applyFont="1" applyFill="1" applyBorder="1"/>
    <xf numFmtId="0" fontId="63" fillId="0" borderId="19" xfId="0" applyFont="1" applyBorder="1"/>
    <xf numFmtId="0" fontId="63" fillId="7" borderId="21" xfId="0" applyFont="1" applyFill="1" applyBorder="1"/>
    <xf numFmtId="0" fontId="63" fillId="0" borderId="21" xfId="0" applyFont="1" applyBorder="1"/>
    <xf numFmtId="0" fontId="64" fillId="8" borderId="27" xfId="0" applyFont="1" applyFill="1" applyBorder="1" applyAlignment="1">
      <alignment horizontal="right"/>
    </xf>
    <xf numFmtId="0" fontId="64" fillId="8" borderId="30" xfId="0" applyFont="1" applyFill="1" applyBorder="1" applyAlignment="1">
      <alignment horizontal="right"/>
    </xf>
    <xf numFmtId="0" fontId="64" fillId="8" borderId="32" xfId="0" applyFont="1" applyFill="1" applyBorder="1" applyAlignment="1">
      <alignment horizontal="right"/>
    </xf>
    <xf numFmtId="0" fontId="36" fillId="9" borderId="10" xfId="0" applyFont="1" applyFill="1" applyBorder="1" applyAlignment="1">
      <alignment horizontal="center" wrapText="1"/>
    </xf>
    <xf numFmtId="0" fontId="0" fillId="7" borderId="20" xfId="0" applyFill="1" applyBorder="1"/>
    <xf numFmtId="0" fontId="65" fillId="0" borderId="24" xfId="0" applyFont="1" applyBorder="1"/>
    <xf numFmtId="0" fontId="55" fillId="0" borderId="24" xfId="0" applyFont="1" applyBorder="1"/>
    <xf numFmtId="0" fontId="59" fillId="11" borderId="21" xfId="0" applyFont="1" applyFill="1" applyBorder="1" applyAlignment="1">
      <alignment wrapText="1"/>
    </xf>
    <xf numFmtId="0" fontId="57" fillId="0" borderId="19" xfId="0" applyFont="1" applyFill="1" applyBorder="1"/>
    <xf numFmtId="0" fontId="57" fillId="0" borderId="20" xfId="0" applyFont="1" applyFill="1" applyBorder="1"/>
    <xf numFmtId="0" fontId="57" fillId="0" borderId="21" xfId="0" applyFont="1" applyFill="1" applyBorder="1"/>
    <xf numFmtId="0" fontId="57" fillId="8" borderId="64" xfId="0" applyFont="1" applyFill="1" applyBorder="1"/>
    <xf numFmtId="0" fontId="57" fillId="0" borderId="19" xfId="0" applyFont="1" applyBorder="1"/>
    <xf numFmtId="0" fontId="57" fillId="0" borderId="0" xfId="0" applyFont="1"/>
    <xf numFmtId="0" fontId="31" fillId="12" borderId="15" xfId="0" applyFont="1" applyFill="1" applyBorder="1" applyAlignment="1">
      <alignment horizontal="center" vertical="center" wrapText="1"/>
    </xf>
    <xf numFmtId="0" fontId="0" fillId="0" borderId="100" xfId="0" applyBorder="1"/>
    <xf numFmtId="0" fontId="34" fillId="8" borderId="79" xfId="0" applyFont="1" applyFill="1" applyBorder="1"/>
    <xf numFmtId="0" fontId="0" fillId="8" borderId="80" xfId="0" applyFill="1" applyBorder="1"/>
    <xf numFmtId="0" fontId="0" fillId="8" borderId="30" xfId="0" applyFont="1" applyFill="1" applyBorder="1"/>
    <xf numFmtId="0" fontId="0" fillId="8" borderId="86" xfId="0" applyFont="1" applyFill="1" applyBorder="1"/>
    <xf numFmtId="0" fontId="0" fillId="0" borderId="61" xfId="0" applyFill="1" applyBorder="1"/>
    <xf numFmtId="0" fontId="0" fillId="0" borderId="61" xfId="0" applyFont="1" applyFill="1" applyBorder="1"/>
    <xf numFmtId="0" fontId="26" fillId="4" borderId="106" xfId="0" applyFont="1" applyFill="1" applyBorder="1"/>
    <xf numFmtId="0" fontId="26" fillId="0" borderId="108" xfId="0" applyFont="1" applyBorder="1"/>
    <xf numFmtId="0" fontId="0" fillId="8" borderId="73" xfId="0" applyFont="1" applyFill="1" applyBorder="1"/>
    <xf numFmtId="0" fontId="13" fillId="8" borderId="110" xfId="0" applyFont="1" applyFill="1" applyBorder="1" applyAlignment="1">
      <alignment horizontal="right"/>
    </xf>
    <xf numFmtId="0" fontId="12" fillId="14" borderId="15" xfId="0" applyFont="1" applyFill="1" applyBorder="1" applyAlignment="1">
      <alignment horizontal="center" wrapText="1"/>
    </xf>
    <xf numFmtId="0" fontId="15" fillId="11" borderId="34" xfId="0" applyFont="1" applyFill="1" applyBorder="1" applyAlignment="1">
      <alignment wrapText="1"/>
    </xf>
    <xf numFmtId="0" fontId="26" fillId="7" borderId="21" xfId="0" applyNumberFormat="1" applyFont="1" applyFill="1" applyBorder="1"/>
    <xf numFmtId="0" fontId="67" fillId="7" borderId="21" xfId="0" applyNumberFormat="1" applyFont="1" applyFill="1" applyBorder="1"/>
    <xf numFmtId="0" fontId="68" fillId="5" borderId="29" xfId="0" applyFont="1" applyFill="1" applyBorder="1" applyAlignment="1">
      <alignment horizontal="right"/>
    </xf>
    <xf numFmtId="0" fontId="0" fillId="4" borderId="93" xfId="0" applyFill="1" applyBorder="1"/>
    <xf numFmtId="0" fontId="0" fillId="4" borderId="94" xfId="0" applyFill="1" applyBorder="1"/>
    <xf numFmtId="0" fontId="69" fillId="0" borderId="92" xfId="0" applyFont="1" applyBorder="1" applyAlignment="1">
      <alignment horizontal="center" vertical="center" wrapText="1"/>
    </xf>
    <xf numFmtId="0" fontId="69" fillId="0" borderId="19" xfId="0" applyFont="1" applyBorder="1" applyAlignment="1">
      <alignment horizontal="center" vertical="center"/>
    </xf>
    <xf numFmtId="0" fontId="26" fillId="0" borderId="22" xfId="0" applyFont="1" applyBorder="1"/>
    <xf numFmtId="0" fontId="70" fillId="0" borderId="111" xfId="0" applyFont="1" applyBorder="1" applyAlignment="1">
      <alignment horizontal="center" vertical="center" wrapText="1"/>
    </xf>
    <xf numFmtId="0" fontId="70" fillId="0" borderId="50" xfId="0" applyFont="1" applyBorder="1" applyAlignment="1">
      <alignment horizontal="center" vertical="center"/>
    </xf>
    <xf numFmtId="0" fontId="0" fillId="0" borderId="53" xfId="0" applyBorder="1" applyAlignment="1">
      <alignment horizontal="center"/>
    </xf>
    <xf numFmtId="0" fontId="0" fillId="0" borderId="19" xfId="0" applyBorder="1" applyAlignment="1">
      <alignment horizontal="center"/>
    </xf>
    <xf numFmtId="0" fontId="0" fillId="5" borderId="28" xfId="0" applyFill="1" applyBorder="1" applyAlignment="1">
      <alignment horizontal="center"/>
    </xf>
    <xf numFmtId="0" fontId="0" fillId="5" borderId="27" xfId="0" applyFill="1" applyBorder="1" applyAlignment="1">
      <alignment horizontal="center"/>
    </xf>
    <xf numFmtId="3" fontId="0" fillId="0" borderId="23" xfId="0" applyNumberFormat="1" applyBorder="1"/>
    <xf numFmtId="3" fontId="0" fillId="5" borderId="24" xfId="0" applyNumberFormat="1" applyFill="1" applyBorder="1"/>
    <xf numFmtId="3" fontId="0" fillId="5" borderId="31" xfId="0" applyNumberFormat="1" applyFill="1" applyBorder="1"/>
    <xf numFmtId="3" fontId="0" fillId="5" borderId="33" xfId="0" applyNumberFormat="1" applyFill="1" applyBorder="1"/>
    <xf numFmtId="0" fontId="15" fillId="0" borderId="112" xfId="0" applyFont="1" applyFill="1" applyBorder="1" applyAlignment="1">
      <alignment horizontal="left" vertical="center" wrapText="1"/>
    </xf>
    <xf numFmtId="3" fontId="0" fillId="0" borderId="24" xfId="0" applyNumberFormat="1" applyBorder="1"/>
    <xf numFmtId="0" fontId="67" fillId="0" borderId="21" xfId="0" applyFont="1" applyBorder="1"/>
    <xf numFmtId="3" fontId="0" fillId="8" borderId="73" xfId="0" applyNumberFormat="1" applyFill="1" applyBorder="1"/>
    <xf numFmtId="3" fontId="0" fillId="8" borderId="28" xfId="0" applyNumberFormat="1" applyFill="1" applyBorder="1"/>
    <xf numFmtId="3" fontId="0" fillId="8" borderId="29" xfId="0" applyNumberFormat="1" applyFill="1" applyBorder="1"/>
    <xf numFmtId="3" fontId="0" fillId="8" borderId="65" xfId="0" applyNumberFormat="1" applyFill="1" applyBorder="1"/>
    <xf numFmtId="0" fontId="16" fillId="0" borderId="0" xfId="0" applyFont="1" applyBorder="1" applyAlignment="1">
      <alignment horizontal="left" vertical="center" wrapText="1"/>
    </xf>
    <xf numFmtId="0" fontId="0" fillId="0" borderId="0" xfId="0" applyBorder="1" applyAlignment="1">
      <alignment vertical="center" wrapText="1"/>
    </xf>
    <xf numFmtId="3" fontId="0" fillId="0" borderId="0" xfId="0" applyNumberFormat="1" applyFill="1" applyBorder="1"/>
    <xf numFmtId="4" fontId="67" fillId="0" borderId="21" xfId="0" applyNumberFormat="1" applyFont="1" applyBorder="1"/>
    <xf numFmtId="0" fontId="0" fillId="0" borderId="100" xfId="0" applyBorder="1" applyAlignment="1">
      <alignment wrapText="1"/>
    </xf>
    <xf numFmtId="0" fontId="0" fillId="0" borderId="25" xfId="0" applyBorder="1"/>
    <xf numFmtId="4" fontId="68" fillId="5" borderId="29" xfId="0" applyNumberFormat="1" applyFont="1" applyFill="1" applyBorder="1" applyAlignment="1">
      <alignment horizontal="right"/>
    </xf>
    <xf numFmtId="0" fontId="13" fillId="5" borderId="33" xfId="0" applyFont="1" applyFill="1" applyBorder="1" applyAlignment="1">
      <alignment horizontal="right"/>
    </xf>
    <xf numFmtId="4" fontId="26" fillId="0" borderId="0" xfId="0" applyNumberFormat="1" applyFont="1" applyFill="1" applyBorder="1"/>
    <xf numFmtId="4" fontId="67" fillId="0" borderId="0" xfId="0" applyNumberFormat="1" applyFont="1" applyFill="1" applyBorder="1"/>
    <xf numFmtId="0" fontId="0" fillId="7" borderId="19" xfId="0" applyFill="1" applyBorder="1"/>
    <xf numFmtId="0" fontId="0" fillId="5" borderId="27" xfId="0" applyFill="1" applyBorder="1"/>
    <xf numFmtId="0" fontId="33" fillId="7" borderId="21" xfId="0" applyFont="1" applyFill="1" applyBorder="1"/>
    <xf numFmtId="0" fontId="0" fillId="7" borderId="56" xfId="0" applyFill="1" applyBorder="1"/>
    <xf numFmtId="0" fontId="26" fillId="7" borderId="21" xfId="0" applyFont="1" applyFill="1" applyBorder="1"/>
    <xf numFmtId="0" fontId="67" fillId="7" borderId="21" xfId="0" applyFont="1" applyFill="1" applyBorder="1"/>
    <xf numFmtId="0" fontId="55" fillId="7" borderId="20" xfId="0" applyFont="1" applyFill="1" applyBorder="1"/>
    <xf numFmtId="0" fontId="14" fillId="0" borderId="21" xfId="0" applyFont="1" applyBorder="1"/>
    <xf numFmtId="166" fontId="14" fillId="0" borderId="21" xfId="1" applyFont="1" applyBorder="1"/>
    <xf numFmtId="166" fontId="73" fillId="0" borderId="0" xfId="1" applyFont="1"/>
    <xf numFmtId="166" fontId="13" fillId="5" borderId="29" xfId="1" applyFont="1" applyFill="1" applyBorder="1" applyAlignment="1">
      <alignment horizontal="right"/>
    </xf>
    <xf numFmtId="0" fontId="0" fillId="0" borderId="0" xfId="0" applyAlignment="1">
      <alignment horizontal="center"/>
    </xf>
    <xf numFmtId="0" fontId="3" fillId="0" borderId="0" xfId="0" applyFont="1"/>
    <xf numFmtId="0" fontId="51" fillId="0" borderId="0" xfId="0" applyFont="1" applyBorder="1"/>
    <xf numFmtId="0" fontId="11" fillId="3" borderId="0" xfId="0" applyFont="1" applyFill="1" applyBorder="1"/>
    <xf numFmtId="0" fontId="12" fillId="3" borderId="113" xfId="0" applyFont="1" applyFill="1" applyBorder="1" applyAlignment="1">
      <alignment wrapText="1"/>
    </xf>
    <xf numFmtId="0" fontId="11" fillId="6" borderId="0" xfId="0" applyFont="1" applyFill="1" applyBorder="1"/>
    <xf numFmtId="0" fontId="12" fillId="6" borderId="113" xfId="0" applyFont="1" applyFill="1" applyBorder="1"/>
    <xf numFmtId="0" fontId="26" fillId="0" borderId="21" xfId="0" applyNumberFormat="1" applyFont="1" applyBorder="1"/>
    <xf numFmtId="0" fontId="11" fillId="9" borderId="0" xfId="0" applyFont="1" applyFill="1" applyBorder="1"/>
    <xf numFmtId="0" fontId="13" fillId="0" borderId="0" xfId="0" applyFont="1" applyBorder="1"/>
    <xf numFmtId="0" fontId="12" fillId="9" borderId="113" xfId="0" applyFont="1" applyFill="1" applyBorder="1" applyAlignment="1">
      <alignment wrapText="1"/>
    </xf>
    <xf numFmtId="0" fontId="11" fillId="10" borderId="0" xfId="0" applyFont="1" applyFill="1" applyBorder="1"/>
    <xf numFmtId="0" fontId="11" fillId="0" borderId="0" xfId="0" applyFont="1" applyFill="1" applyBorder="1"/>
    <xf numFmtId="0" fontId="41" fillId="0" borderId="0" xfId="0" applyFont="1" applyFill="1" applyBorder="1"/>
    <xf numFmtId="0" fontId="33" fillId="0" borderId="19" xfId="0" applyFont="1" applyFill="1" applyBorder="1"/>
    <xf numFmtId="0" fontId="11" fillId="12" borderId="0" xfId="0" applyFont="1" applyFill="1" applyBorder="1"/>
    <xf numFmtId="0" fontId="11" fillId="13" borderId="0" xfId="0" applyFont="1" applyFill="1" applyBorder="1"/>
    <xf numFmtId="0" fontId="11" fillId="0" borderId="0" xfId="0" applyFont="1" applyBorder="1"/>
    <xf numFmtId="0" fontId="11" fillId="14" borderId="0" xfId="0" applyFont="1" applyFill="1" applyBorder="1"/>
    <xf numFmtId="0" fontId="13" fillId="14" borderId="0" xfId="0" applyFont="1" applyFill="1" applyBorder="1"/>
    <xf numFmtId="0" fontId="12" fillId="14" borderId="113" xfId="0" applyFont="1" applyFill="1" applyBorder="1" applyAlignment="1">
      <alignment wrapText="1"/>
    </xf>
    <xf numFmtId="0" fontId="12" fillId="11" borderId="113" xfId="0" applyFont="1" applyFill="1" applyBorder="1" applyAlignment="1">
      <alignment horizontal="left" vertical="center" wrapText="1"/>
    </xf>
    <xf numFmtId="4" fontId="26" fillId="0" borderId="21" xfId="0" applyNumberFormat="1" applyFont="1" applyBorder="1" applyAlignment="1">
      <alignment horizontal="right" vertical="center"/>
    </xf>
    <xf numFmtId="0" fontId="5" fillId="2" borderId="114" xfId="0" applyFont="1" applyFill="1" applyBorder="1" applyAlignment="1">
      <alignment horizontal="centerContinuous"/>
    </xf>
    <xf numFmtId="0" fontId="0" fillId="2" borderId="115" xfId="0" applyFill="1" applyBorder="1" applyAlignment="1">
      <alignment horizontal="centerContinuous"/>
    </xf>
    <xf numFmtId="0" fontId="1" fillId="4" borderId="22" xfId="0" applyFont="1" applyFill="1" applyBorder="1"/>
    <xf numFmtId="0" fontId="1" fillId="4" borderId="23" xfId="0" applyFont="1" applyFill="1" applyBorder="1"/>
    <xf numFmtId="0" fontId="1" fillId="4" borderId="21" xfId="0" applyFont="1" applyFill="1" applyBorder="1"/>
    <xf numFmtId="0" fontId="1" fillId="5" borderId="24" xfId="0" applyFont="1" applyFill="1" applyBorder="1"/>
    <xf numFmtId="0" fontId="1" fillId="0" borderId="22" xfId="0" applyFont="1" applyBorder="1"/>
    <xf numFmtId="0" fontId="1" fillId="0" borderId="23" xfId="0" applyFont="1" applyBorder="1"/>
    <xf numFmtId="0" fontId="1" fillId="0" borderId="21" xfId="0" applyFont="1" applyBorder="1"/>
    <xf numFmtId="0" fontId="1" fillId="0" borderId="22" xfId="0" applyFont="1" applyFill="1" applyBorder="1"/>
    <xf numFmtId="0" fontId="64" fillId="5" borderId="30" xfId="0" applyFont="1" applyFill="1" applyBorder="1" applyAlignment="1">
      <alignment horizontal="right"/>
    </xf>
    <xf numFmtId="0" fontId="1" fillId="5" borderId="31" xfId="0" applyFont="1" applyFill="1" applyBorder="1"/>
    <xf numFmtId="0" fontId="1" fillId="5" borderId="29" xfId="0" applyFont="1" applyFill="1" applyBorder="1"/>
    <xf numFmtId="0" fontId="1" fillId="5" borderId="33" xfId="0" applyFont="1" applyFill="1" applyBorder="1"/>
    <xf numFmtId="0" fontId="75" fillId="0" borderId="19" xfId="0" applyFont="1" applyFill="1" applyBorder="1"/>
    <xf numFmtId="0" fontId="75" fillId="0" borderId="20" xfId="0" applyFont="1" applyFill="1" applyBorder="1"/>
    <xf numFmtId="0" fontId="75" fillId="0" borderId="21" xfId="0" applyFont="1" applyFill="1" applyBorder="1"/>
    <xf numFmtId="0" fontId="75" fillId="0" borderId="64" xfId="0" applyFont="1" applyFill="1" applyBorder="1"/>
    <xf numFmtId="0" fontId="58" fillId="11" borderId="113" xfId="0" applyFont="1" applyFill="1" applyBorder="1" applyAlignment="1">
      <alignment horizontal="left" vertical="center" wrapText="1"/>
    </xf>
    <xf numFmtId="0" fontId="58" fillId="11" borderId="15" xfId="0" applyFont="1" applyFill="1" applyBorder="1" applyAlignment="1">
      <alignment wrapText="1"/>
    </xf>
    <xf numFmtId="0" fontId="59" fillId="11" borderId="11" xfId="0" applyFont="1" applyFill="1" applyBorder="1" applyAlignment="1">
      <alignment wrapText="1"/>
    </xf>
    <xf numFmtId="0" fontId="59" fillId="11" borderId="15" xfId="0" applyFont="1" applyFill="1" applyBorder="1" applyAlignment="1">
      <alignment wrapText="1"/>
    </xf>
    <xf numFmtId="0" fontId="60" fillId="0" borderId="21" xfId="0" applyFont="1" applyFill="1" applyBorder="1"/>
    <xf numFmtId="0" fontId="0" fillId="0" borderId="0" xfId="0" applyFont="1" applyAlignment="1">
      <alignment wrapText="1"/>
    </xf>
    <xf numFmtId="0" fontId="26" fillId="0" borderId="21" xfId="0" applyFont="1" applyFill="1" applyBorder="1"/>
    <xf numFmtId="0" fontId="0" fillId="0" borderId="42" xfId="0" applyFont="1" applyBorder="1"/>
    <xf numFmtId="0" fontId="0" fillId="0" borderId="0" xfId="0" applyAlignment="1">
      <alignment horizontal="right"/>
    </xf>
    <xf numFmtId="0" fontId="12" fillId="3" borderId="118" xfId="0" applyFont="1" applyFill="1" applyBorder="1" applyAlignment="1">
      <alignment wrapText="1"/>
    </xf>
    <xf numFmtId="0" fontId="12" fillId="3" borderId="119" xfId="0" applyFont="1" applyFill="1" applyBorder="1" applyAlignment="1">
      <alignment wrapText="1"/>
    </xf>
    <xf numFmtId="4" fontId="0" fillId="4" borderId="20" xfId="0" applyNumberFormat="1" applyFill="1" applyBorder="1"/>
    <xf numFmtId="4" fontId="0" fillId="4" borderId="21" xfId="0" applyNumberFormat="1" applyFill="1" applyBorder="1"/>
    <xf numFmtId="1" fontId="0" fillId="5" borderId="22" xfId="0" applyNumberFormat="1" applyFill="1" applyBorder="1"/>
    <xf numFmtId="4" fontId="0" fillId="4" borderId="23" xfId="0" applyNumberFormat="1" applyFill="1" applyBorder="1"/>
    <xf numFmtId="4" fontId="0" fillId="4" borderId="24" xfId="0" applyNumberFormat="1" applyFill="1" applyBorder="1"/>
    <xf numFmtId="0" fontId="0" fillId="0" borderId="20" xfId="0" applyNumberFormat="1" applyFill="1" applyBorder="1"/>
    <xf numFmtId="0" fontId="0" fillId="0" borderId="21" xfId="0" applyNumberFormat="1" applyFill="1" applyBorder="1"/>
    <xf numFmtId="3" fontId="0" fillId="0" borderId="23" xfId="0" applyNumberFormat="1" applyFill="1" applyBorder="1"/>
    <xf numFmtId="3" fontId="0" fillId="0" borderId="24" xfId="0" applyNumberFormat="1" applyFill="1" applyBorder="1"/>
    <xf numFmtId="1" fontId="0" fillId="0" borderId="20" xfId="0" applyNumberFormat="1" applyBorder="1"/>
    <xf numFmtId="1" fontId="0" fillId="0" borderId="21" xfId="0" applyNumberFormat="1" applyBorder="1"/>
    <xf numFmtId="3" fontId="0" fillId="2" borderId="24" xfId="0" applyNumberFormat="1" applyFill="1" applyBorder="1"/>
    <xf numFmtId="1" fontId="0" fillId="5" borderId="28" xfId="0" applyNumberFormat="1" applyFill="1" applyBorder="1"/>
    <xf numFmtId="1" fontId="0" fillId="5" borderId="29" xfId="0" applyNumberFormat="1" applyFill="1" applyBorder="1"/>
    <xf numFmtId="1" fontId="0" fillId="5" borderId="30" xfId="0" applyNumberFormat="1" applyFill="1" applyBorder="1"/>
    <xf numFmtId="3" fontId="0" fillId="5" borderId="32" xfId="0" applyNumberFormat="1" applyFill="1" applyBorder="1"/>
    <xf numFmtId="0" fontId="56" fillId="0" borderId="0" xfId="0" applyFont="1" applyFill="1" applyBorder="1"/>
    <xf numFmtId="0" fontId="56" fillId="0" borderId="0" xfId="0" applyFont="1" applyBorder="1"/>
    <xf numFmtId="0" fontId="12" fillId="6" borderId="118" xfId="0" applyFont="1" applyFill="1" applyBorder="1"/>
    <xf numFmtId="0" fontId="12" fillId="6" borderId="119" xfId="0" applyFont="1" applyFill="1" applyBorder="1" applyAlignment="1">
      <alignment horizontal="center" wrapText="1"/>
    </xf>
    <xf numFmtId="3" fontId="0" fillId="7" borderId="20" xfId="0" applyNumberFormat="1" applyFill="1" applyBorder="1"/>
    <xf numFmtId="3" fontId="0" fillId="7" borderId="19" xfId="0" applyNumberFormat="1" applyFill="1" applyBorder="1"/>
    <xf numFmtId="0" fontId="15" fillId="0" borderId="121" xfId="0" applyFont="1" applyFill="1" applyBorder="1" applyAlignment="1">
      <alignment horizontal="left" vertical="center" wrapText="1"/>
    </xf>
    <xf numFmtId="0" fontId="12" fillId="6" borderId="119" xfId="0" applyFont="1" applyFill="1" applyBorder="1" applyAlignment="1">
      <alignment wrapText="1"/>
    </xf>
    <xf numFmtId="0" fontId="28" fillId="6" borderId="117" xfId="0" applyFont="1" applyFill="1" applyBorder="1" applyAlignment="1">
      <alignment horizontal="centerContinuous" wrapText="1"/>
    </xf>
    <xf numFmtId="0" fontId="28" fillId="6" borderId="120" xfId="0" applyFont="1" applyFill="1" applyBorder="1" applyAlignment="1">
      <alignment horizontal="centerContinuous" wrapText="1"/>
    </xf>
    <xf numFmtId="1" fontId="0" fillId="0" borderId="24" xfId="0" applyNumberFormat="1" applyBorder="1"/>
    <xf numFmtId="1" fontId="0" fillId="8" borderId="28" xfId="0" applyNumberFormat="1" applyFill="1" applyBorder="1"/>
    <xf numFmtId="1" fontId="0" fillId="8" borderId="29" xfId="0" applyNumberFormat="1" applyFill="1" applyBorder="1"/>
    <xf numFmtId="1" fontId="0" fillId="8" borderId="33" xfId="0" applyNumberFormat="1" applyFill="1" applyBorder="1"/>
    <xf numFmtId="0" fontId="12" fillId="9" borderId="118" xfId="0" applyFont="1" applyFill="1" applyBorder="1" applyAlignment="1">
      <alignment wrapText="1"/>
    </xf>
    <xf numFmtId="0" fontId="36" fillId="9" borderId="119" xfId="0" applyFont="1" applyFill="1" applyBorder="1" applyAlignment="1">
      <alignment horizontal="center" wrapText="1"/>
    </xf>
    <xf numFmtId="0" fontId="29" fillId="11" borderId="117" xfId="0" applyFont="1" applyFill="1" applyBorder="1" applyAlignment="1">
      <alignment horizontal="centerContinuous" wrapText="1"/>
    </xf>
    <xf numFmtId="0" fontId="29" fillId="11" borderId="120" xfId="0" applyFont="1" applyFill="1" applyBorder="1" applyAlignment="1">
      <alignment horizontal="centerContinuous" wrapText="1"/>
    </xf>
    <xf numFmtId="0" fontId="0" fillId="0" borderId="24" xfId="0" applyFont="1" applyFill="1" applyBorder="1"/>
    <xf numFmtId="0" fontId="28" fillId="11" borderId="123" xfId="0" applyFont="1" applyFill="1" applyBorder="1" applyAlignment="1">
      <alignment horizontal="center" wrapText="1"/>
    </xf>
    <xf numFmtId="0" fontId="28" fillId="11" borderId="117" xfId="0" applyFont="1" applyFill="1" applyBorder="1" applyAlignment="1">
      <alignment horizontal="centerContinuous" wrapText="1"/>
    </xf>
    <xf numFmtId="0" fontId="28" fillId="12" borderId="124" xfId="0" applyFont="1" applyFill="1" applyBorder="1" applyAlignment="1">
      <alignment horizontal="centerContinuous" wrapText="1"/>
    </xf>
    <xf numFmtId="0" fontId="28" fillId="12" borderId="125" xfId="0" applyFont="1" applyFill="1" applyBorder="1" applyAlignment="1">
      <alignment horizontal="centerContinuous" wrapText="1"/>
    </xf>
    <xf numFmtId="0" fontId="28" fillId="12" borderId="126" xfId="0" applyFont="1" applyFill="1" applyBorder="1" applyAlignment="1">
      <alignment horizontal="centerContinuous" wrapText="1"/>
    </xf>
    <xf numFmtId="0" fontId="28" fillId="12" borderId="117" xfId="0" applyFont="1" applyFill="1" applyBorder="1" applyAlignment="1">
      <alignment horizontal="centerContinuous" wrapText="1"/>
    </xf>
    <xf numFmtId="0" fontId="28" fillId="12" borderId="129" xfId="0" applyFont="1" applyFill="1" applyBorder="1" applyAlignment="1">
      <alignment horizontal="centerContinuous" wrapText="1"/>
    </xf>
    <xf numFmtId="0" fontId="28" fillId="12" borderId="120" xfId="0" applyFont="1" applyFill="1" applyBorder="1" applyAlignment="1">
      <alignment horizontal="centerContinuous" wrapText="1"/>
    </xf>
    <xf numFmtId="0" fontId="0" fillId="7" borderId="121" xfId="0" applyFont="1" applyFill="1" applyBorder="1"/>
    <xf numFmtId="0" fontId="0" fillId="12" borderId="117" xfId="0" applyFont="1" applyFill="1" applyBorder="1" applyAlignment="1">
      <alignment wrapText="1"/>
    </xf>
    <xf numFmtId="0" fontId="28" fillId="13" borderId="117" xfId="0" applyFont="1" applyFill="1" applyBorder="1" applyAlignment="1">
      <alignment horizontal="centerContinuous" wrapText="1"/>
    </xf>
    <xf numFmtId="0" fontId="28" fillId="13" borderId="129" xfId="0" applyFont="1" applyFill="1" applyBorder="1" applyAlignment="1">
      <alignment horizontal="centerContinuous" wrapText="1"/>
    </xf>
    <xf numFmtId="0" fontId="28" fillId="0" borderId="100" xfId="0" applyFont="1" applyBorder="1" applyAlignment="1">
      <alignment vertical="center" wrapText="1"/>
    </xf>
    <xf numFmtId="0" fontId="28" fillId="0" borderId="38" xfId="0" applyFont="1" applyBorder="1" applyAlignment="1"/>
    <xf numFmtId="0" fontId="16" fillId="0" borderId="102" xfId="0" applyFont="1" applyBorder="1" applyAlignment="1">
      <alignment vertical="center" wrapText="1"/>
    </xf>
    <xf numFmtId="0" fontId="16" fillId="0" borderId="100" xfId="0" applyFont="1" applyBorder="1" applyAlignment="1">
      <alignment vertical="center" wrapText="1"/>
    </xf>
    <xf numFmtId="0" fontId="16" fillId="0" borderId="38" xfId="0" applyFont="1" applyBorder="1" applyAlignment="1">
      <alignment vertical="center" wrapText="1"/>
    </xf>
    <xf numFmtId="0" fontId="12" fillId="14" borderId="118" xfId="0" applyFont="1" applyFill="1" applyBorder="1" applyAlignment="1">
      <alignment wrapText="1"/>
    </xf>
    <xf numFmtId="0" fontId="15" fillId="14" borderId="117" xfId="0" applyFont="1" applyFill="1" applyBorder="1" applyAlignment="1">
      <alignment wrapText="1"/>
    </xf>
    <xf numFmtId="0" fontId="12" fillId="11" borderId="118" xfId="0" applyFont="1" applyFill="1" applyBorder="1" applyAlignment="1">
      <alignment horizontal="left" vertical="center" wrapText="1"/>
    </xf>
    <xf numFmtId="4" fontId="26" fillId="7" borderId="21" xfId="0" applyNumberFormat="1" applyFont="1" applyFill="1" applyBorder="1"/>
    <xf numFmtId="4" fontId="26" fillId="0" borderId="21" xfId="0" applyNumberFormat="1" applyFont="1" applyBorder="1" applyAlignment="1">
      <alignment vertical="center"/>
    </xf>
    <xf numFmtId="4" fontId="26" fillId="7" borderId="21" xfId="0" applyNumberFormat="1" applyFont="1" applyFill="1" applyBorder="1" applyAlignment="1">
      <alignment vertical="center"/>
    </xf>
    <xf numFmtId="4" fontId="26" fillId="0" borderId="21" xfId="0" applyNumberFormat="1" applyFont="1" applyBorder="1" applyAlignment="1"/>
    <xf numFmtId="4" fontId="13" fillId="5" borderId="29" xfId="0" applyNumberFormat="1" applyFont="1" applyFill="1" applyBorder="1" applyAlignment="1">
      <alignment horizontal="right" vertical="center"/>
    </xf>
    <xf numFmtId="0" fontId="56" fillId="0" borderId="23" xfId="0" applyFont="1" applyBorder="1"/>
    <xf numFmtId="0" fontId="55" fillId="0" borderId="21" xfId="0" applyFont="1" applyBorder="1"/>
    <xf numFmtId="0" fontId="55" fillId="2" borderId="24" xfId="0" applyFont="1" applyFill="1" applyBorder="1"/>
    <xf numFmtId="0" fontId="65" fillId="0" borderId="21" xfId="0" applyFont="1" applyBorder="1"/>
    <xf numFmtId="0" fontId="65" fillId="2" borderId="24" xfId="0" applyFont="1" applyFill="1" applyBorder="1"/>
    <xf numFmtId="0" fontId="55" fillId="0" borderId="23" xfId="0" applyFont="1" applyBorder="1"/>
    <xf numFmtId="0" fontId="65" fillId="0" borderId="23" xfId="0" applyFont="1" applyBorder="1"/>
    <xf numFmtId="0" fontId="55" fillId="0" borderId="20" xfId="0" applyFont="1" applyBorder="1"/>
    <xf numFmtId="0" fontId="55" fillId="0" borderId="19" xfId="0" applyFont="1" applyBorder="1"/>
    <xf numFmtId="0" fontId="56" fillId="7" borderId="56" xfId="0" applyFont="1" applyFill="1" applyBorder="1"/>
    <xf numFmtId="0" fontId="67" fillId="0" borderId="21" xfId="0" applyFont="1" applyBorder="1" applyAlignment="1">
      <alignment wrapText="1"/>
    </xf>
    <xf numFmtId="0" fontId="26" fillId="0" borderId="21" xfId="0" applyNumberFormat="1" applyFont="1" applyBorder="1" applyAlignment="1">
      <alignment horizontal="right"/>
    </xf>
    <xf numFmtId="0" fontId="55" fillId="0" borderId="61" xfId="0" applyFont="1" applyBorder="1"/>
    <xf numFmtId="0" fontId="55" fillId="0" borderId="56" xfId="0" applyFont="1" applyBorder="1"/>
    <xf numFmtId="0" fontId="55" fillId="7" borderId="19" xfId="0" applyFont="1" applyFill="1" applyBorder="1"/>
    <xf numFmtId="0" fontId="55" fillId="0" borderId="61" xfId="0" applyFont="1" applyFill="1" applyBorder="1"/>
    <xf numFmtId="0" fontId="56" fillId="0" borderId="24" xfId="0" applyFont="1" applyBorder="1"/>
    <xf numFmtId="0" fontId="0" fillId="7" borderId="61" xfId="0" applyFill="1" applyBorder="1"/>
    <xf numFmtId="0" fontId="65" fillId="0" borderId="20" xfId="0" applyFont="1" applyBorder="1"/>
    <xf numFmtId="0" fontId="2" fillId="0" borderId="21" xfId="0" applyFont="1" applyBorder="1"/>
    <xf numFmtId="4" fontId="55" fillId="0" borderId="0" xfId="0" applyNumberFormat="1" applyFont="1"/>
    <xf numFmtId="4" fontId="67" fillId="7" borderId="21" xfId="0" applyNumberFormat="1" applyFont="1" applyFill="1" applyBorder="1"/>
    <xf numFmtId="4" fontId="26" fillId="0" borderId="18" xfId="0" applyNumberFormat="1" applyFont="1" applyFill="1" applyBorder="1"/>
    <xf numFmtId="0" fontId="0" fillId="0" borderId="56" xfId="0" applyFill="1" applyBorder="1"/>
    <xf numFmtId="0" fontId="34" fillId="0" borderId="27" xfId="0" applyFont="1" applyFill="1" applyBorder="1" applyAlignment="1">
      <alignment horizontal="right"/>
    </xf>
    <xf numFmtId="0" fontId="0" fillId="0" borderId="28" xfId="0" applyFill="1" applyBorder="1"/>
    <xf numFmtId="0" fontId="0" fillId="0" borderId="24" xfId="0" applyFill="1" applyBorder="1"/>
    <xf numFmtId="4" fontId="14" fillId="0" borderId="21" xfId="0" applyNumberFormat="1" applyFont="1" applyFill="1" applyBorder="1"/>
    <xf numFmtId="4" fontId="14" fillId="0" borderId="21" xfId="0" applyNumberFormat="1" applyFont="1" applyBorder="1"/>
    <xf numFmtId="4" fontId="26" fillId="0" borderId="21" xfId="0" applyNumberFormat="1" applyFont="1" applyFill="1" applyBorder="1"/>
    <xf numFmtId="0" fontId="87" fillId="0" borderId="0" xfId="0" applyFont="1" applyAlignment="1"/>
    <xf numFmtId="0" fontId="87" fillId="0" borderId="0" xfId="0" applyFont="1"/>
    <xf numFmtId="0" fontId="89" fillId="2" borderId="114" xfId="0" applyFont="1" applyFill="1" applyBorder="1" applyAlignment="1">
      <alignment horizontal="centerContinuous"/>
    </xf>
    <xf numFmtId="0" fontId="88" fillId="2" borderId="115" xfId="0" applyFont="1" applyFill="1" applyBorder="1" applyAlignment="1">
      <alignment horizontal="centerContinuous"/>
    </xf>
    <xf numFmtId="0" fontId="87" fillId="0" borderId="0" xfId="0" applyFont="1" applyBorder="1"/>
    <xf numFmtId="0" fontId="88" fillId="0" borderId="0" xfId="0" applyFont="1" applyAlignment="1"/>
    <xf numFmtId="0" fontId="88" fillId="0" borderId="0" xfId="0" applyFont="1"/>
    <xf numFmtId="0" fontId="87" fillId="3" borderId="0" xfId="0" applyFont="1" applyFill="1" applyAlignment="1"/>
    <xf numFmtId="0" fontId="87" fillId="3" borderId="0" xfId="0" applyFont="1" applyFill="1"/>
    <xf numFmtId="0" fontId="88" fillId="3" borderId="0" xfId="0" applyFont="1" applyFill="1"/>
    <xf numFmtId="0" fontId="88" fillId="0" borderId="0" xfId="0" applyFont="1" applyBorder="1"/>
    <xf numFmtId="0" fontId="87" fillId="3" borderId="118" xfId="0" applyFont="1" applyFill="1" applyBorder="1" applyAlignment="1"/>
    <xf numFmtId="0" fontId="87" fillId="3" borderId="119" xfId="0" applyFont="1" applyFill="1" applyBorder="1" applyAlignment="1">
      <alignment wrapText="1"/>
    </xf>
    <xf numFmtId="0" fontId="87" fillId="3" borderId="11" xfId="0" applyFont="1" applyFill="1" applyBorder="1" applyAlignment="1">
      <alignment horizontal="centerContinuous" wrapText="1"/>
    </xf>
    <xf numFmtId="0" fontId="87" fillId="3" borderId="14" xfId="0" applyFont="1" applyFill="1" applyBorder="1" applyAlignment="1">
      <alignment horizontal="centerContinuous" wrapText="1"/>
    </xf>
    <xf numFmtId="0" fontId="87" fillId="3" borderId="15" xfId="0" applyFont="1" applyFill="1" applyBorder="1" applyAlignment="1">
      <alignment horizontal="center" vertical="center"/>
    </xf>
    <xf numFmtId="0" fontId="88" fillId="3" borderId="15" xfId="0" applyFont="1" applyFill="1" applyBorder="1" applyAlignment="1">
      <alignment horizontal="centerContinuous" wrapText="1"/>
    </xf>
    <xf numFmtId="0" fontId="87" fillId="3" borderId="16" xfId="0" applyFont="1" applyFill="1" applyBorder="1" applyAlignment="1">
      <alignment horizontal="centerContinuous" wrapText="1"/>
    </xf>
    <xf numFmtId="0" fontId="87" fillId="0" borderId="0" xfId="0" applyFont="1" applyFill="1" applyBorder="1" applyAlignment="1">
      <alignment horizontal="centerContinuous" wrapText="1"/>
    </xf>
    <xf numFmtId="0" fontId="87" fillId="3" borderId="17" xfId="0" applyFont="1" applyFill="1" applyBorder="1" applyAlignment="1"/>
    <xf numFmtId="0" fontId="87" fillId="3" borderId="18" xfId="0" applyFont="1" applyFill="1" applyBorder="1" applyAlignment="1">
      <alignment horizontal="center" wrapText="1"/>
    </xf>
    <xf numFmtId="0" fontId="90" fillId="3" borderId="19" xfId="0" applyFont="1" applyFill="1" applyBorder="1" applyAlignment="1">
      <alignment wrapText="1"/>
    </xf>
    <xf numFmtId="0" fontId="90" fillId="3" borderId="20" xfId="0" applyFont="1" applyFill="1" applyBorder="1" applyAlignment="1">
      <alignment horizontal="center" wrapText="1"/>
    </xf>
    <xf numFmtId="0" fontId="90" fillId="3" borderId="21" xfId="0" applyFont="1" applyFill="1" applyBorder="1" applyAlignment="1">
      <alignment horizontal="center" wrapText="1"/>
    </xf>
    <xf numFmtId="0" fontId="87" fillId="3" borderId="22" xfId="0" applyFont="1" applyFill="1" applyBorder="1" applyAlignment="1">
      <alignment horizontal="center" wrapText="1"/>
    </xf>
    <xf numFmtId="0" fontId="91" fillId="3" borderId="23" xfId="0" applyFont="1" applyFill="1" applyBorder="1" applyAlignment="1">
      <alignment wrapText="1"/>
    </xf>
    <xf numFmtId="0" fontId="90" fillId="3" borderId="21" xfId="0" applyFont="1" applyFill="1" applyBorder="1" applyAlignment="1">
      <alignment wrapText="1"/>
    </xf>
    <xf numFmtId="0" fontId="91" fillId="3" borderId="21" xfId="0" applyFont="1" applyFill="1" applyBorder="1" applyAlignment="1">
      <alignment wrapText="1"/>
    </xf>
    <xf numFmtId="0" fontId="90" fillId="3" borderId="24" xfId="0" applyFont="1" applyFill="1" applyBorder="1" applyAlignment="1">
      <alignment wrapText="1"/>
    </xf>
    <xf numFmtId="0" fontId="90" fillId="0" borderId="0" xfId="0" applyFont="1" applyFill="1" applyBorder="1" applyAlignment="1">
      <alignment wrapText="1"/>
    </xf>
    <xf numFmtId="0" fontId="88" fillId="4" borderId="19" xfId="0" applyFont="1" applyFill="1" applyBorder="1"/>
    <xf numFmtId="0" fontId="88" fillId="4" borderId="20" xfId="0" applyFont="1" applyFill="1" applyBorder="1"/>
    <xf numFmtId="0" fontId="88" fillId="4" borderId="21" xfId="0" applyFont="1" applyFill="1" applyBorder="1"/>
    <xf numFmtId="0" fontId="88" fillId="5" borderId="22" xfId="0" applyFont="1" applyFill="1" applyBorder="1"/>
    <xf numFmtId="0" fontId="88" fillId="4" borderId="23" xfId="0" applyFont="1" applyFill="1" applyBorder="1"/>
    <xf numFmtId="0" fontId="88" fillId="4" borderId="24" xfId="0" applyFont="1" applyFill="1" applyBorder="1"/>
    <xf numFmtId="0" fontId="88" fillId="0" borderId="0" xfId="0" applyFont="1" applyFill="1" applyBorder="1"/>
    <xf numFmtId="0" fontId="88" fillId="0" borderId="19" xfId="0" applyFont="1" applyBorder="1"/>
    <xf numFmtId="0" fontId="88" fillId="0" borderId="20" xfId="0" applyFont="1" applyBorder="1"/>
    <xf numFmtId="0" fontId="88" fillId="0" borderId="21" xfId="0" applyFont="1" applyBorder="1"/>
    <xf numFmtId="0" fontId="88" fillId="0" borderId="23" xfId="0" applyFont="1" applyBorder="1"/>
    <xf numFmtId="0" fontId="88" fillId="2" borderId="24" xfId="0" applyFont="1" applyFill="1" applyBorder="1"/>
    <xf numFmtId="0" fontId="88" fillId="0" borderId="19" xfId="0" applyFont="1" applyFill="1" applyBorder="1"/>
    <xf numFmtId="0" fontId="87" fillId="5" borderId="27" xfId="0" applyFont="1" applyFill="1" applyBorder="1" applyAlignment="1">
      <alignment horizontal="right"/>
    </xf>
    <xf numFmtId="0" fontId="88" fillId="5" borderId="28" xfId="0" applyFont="1" applyFill="1" applyBorder="1"/>
    <xf numFmtId="0" fontId="88" fillId="5" borderId="29" xfId="0" applyFont="1" applyFill="1" applyBorder="1"/>
    <xf numFmtId="0" fontId="88" fillId="5" borderId="30" xfId="0" applyFont="1" applyFill="1" applyBorder="1"/>
    <xf numFmtId="0" fontId="88" fillId="5" borderId="31" xfId="0" applyFont="1" applyFill="1" applyBorder="1"/>
    <xf numFmtId="0" fontId="88" fillId="5" borderId="32" xfId="0" applyFont="1" applyFill="1" applyBorder="1"/>
    <xf numFmtId="0" fontId="88" fillId="5" borderId="33" xfId="0" applyFont="1" applyFill="1" applyBorder="1"/>
    <xf numFmtId="0" fontId="87" fillId="0" borderId="0" xfId="0" applyFont="1" applyAlignment="1">
      <alignment horizontal="right"/>
    </xf>
    <xf numFmtId="0" fontId="87" fillId="3" borderId="34" xfId="0" applyFont="1" applyFill="1" applyBorder="1" applyAlignment="1">
      <alignment horizontal="centerContinuous" wrapText="1"/>
    </xf>
    <xf numFmtId="0" fontId="88" fillId="0" borderId="0" xfId="0" applyFont="1" applyFill="1" applyBorder="1" applyAlignment="1">
      <alignment horizontal="centerContinuous" wrapText="1"/>
    </xf>
    <xf numFmtId="0" fontId="88" fillId="0" borderId="0" xfId="0" applyFont="1" applyBorder="1" applyAlignment="1">
      <alignment wrapText="1"/>
    </xf>
    <xf numFmtId="0" fontId="87" fillId="3" borderId="100" xfId="0" applyFont="1" applyFill="1" applyBorder="1" applyAlignment="1"/>
    <xf numFmtId="0" fontId="90" fillId="3" borderId="22" xfId="0" applyFont="1" applyFill="1" applyBorder="1" applyAlignment="1">
      <alignment wrapText="1"/>
    </xf>
    <xf numFmtId="0" fontId="90" fillId="3" borderId="23" xfId="0" applyFont="1" applyFill="1" applyBorder="1" applyAlignment="1">
      <alignment horizontal="center" wrapText="1"/>
    </xf>
    <xf numFmtId="0" fontId="87" fillId="3" borderId="24" xfId="0" applyFont="1" applyFill="1" applyBorder="1" applyAlignment="1">
      <alignment horizontal="center" wrapText="1"/>
    </xf>
    <xf numFmtId="0" fontId="88" fillId="4" borderId="22" xfId="0" applyFont="1" applyFill="1" applyBorder="1"/>
    <xf numFmtId="0" fontId="88" fillId="5" borderId="24" xfId="0" applyFont="1" applyFill="1" applyBorder="1"/>
    <xf numFmtId="0" fontId="88" fillId="0" borderId="22" xfId="0" applyFont="1" applyBorder="1"/>
    <xf numFmtId="0" fontId="88" fillId="0" borderId="22" xfId="0" applyFont="1" applyFill="1" applyBorder="1"/>
    <xf numFmtId="0" fontId="87" fillId="5" borderId="30" xfId="0" applyFont="1" applyFill="1" applyBorder="1" applyAlignment="1">
      <alignment horizontal="right"/>
    </xf>
    <xf numFmtId="0" fontId="88" fillId="0" borderId="0" xfId="0" applyFont="1" applyAlignment="1">
      <alignment vertical="center"/>
    </xf>
    <xf numFmtId="0" fontId="88" fillId="0" borderId="0" xfId="0" applyFont="1" applyAlignment="1">
      <alignment vertical="center" wrapText="1"/>
    </xf>
    <xf numFmtId="0" fontId="87" fillId="6" borderId="0" xfId="0" applyFont="1" applyFill="1" applyAlignment="1"/>
    <xf numFmtId="0" fontId="87" fillId="6" borderId="0" xfId="0" applyFont="1" applyFill="1"/>
    <xf numFmtId="0" fontId="88" fillId="6" borderId="0" xfId="0" applyFont="1" applyFill="1"/>
    <xf numFmtId="0" fontId="88" fillId="0" borderId="0" xfId="0" applyFont="1" applyFill="1"/>
    <xf numFmtId="0" fontId="87" fillId="6" borderId="118" xfId="0" applyFont="1" applyFill="1" applyBorder="1" applyAlignment="1"/>
    <xf numFmtId="0" fontId="87" fillId="6" borderId="119" xfId="0" applyFont="1" applyFill="1" applyBorder="1" applyAlignment="1">
      <alignment horizontal="center" wrapText="1"/>
    </xf>
    <xf numFmtId="0" fontId="90" fillId="6" borderId="11" xfId="0" applyFont="1" applyFill="1" applyBorder="1"/>
    <xf numFmtId="0" fontId="90" fillId="6" borderId="39" xfId="0" applyFont="1" applyFill="1" applyBorder="1" applyAlignment="1">
      <alignment horizontal="center" wrapText="1"/>
    </xf>
    <xf numFmtId="0" fontId="90" fillId="6" borderId="11" xfId="0" applyFont="1" applyFill="1" applyBorder="1" applyAlignment="1">
      <alignment horizontal="center" wrapText="1"/>
    </xf>
    <xf numFmtId="0" fontId="90" fillId="7" borderId="0" xfId="0" applyFont="1" applyFill="1" applyBorder="1" applyAlignment="1">
      <alignment wrapText="1"/>
    </xf>
    <xf numFmtId="0" fontId="90" fillId="4" borderId="19" xfId="0" applyFont="1" applyFill="1" applyBorder="1"/>
    <xf numFmtId="0" fontId="90" fillId="0" borderId="19" xfId="0" applyFont="1" applyBorder="1"/>
    <xf numFmtId="0" fontId="88" fillId="0" borderId="19" xfId="0" applyFont="1" applyBorder="1" applyAlignment="1">
      <alignment horizontal="right"/>
    </xf>
    <xf numFmtId="0" fontId="93" fillId="0" borderId="0" xfId="0" applyFont="1"/>
    <xf numFmtId="0" fontId="88" fillId="0" borderId="108" xfId="0" applyFont="1" applyBorder="1" applyAlignment="1">
      <alignment vertical="center"/>
    </xf>
    <xf numFmtId="0" fontId="93" fillId="0" borderId="130" xfId="0" applyFont="1" applyBorder="1" applyAlignment="1">
      <alignment vertical="center" wrapText="1"/>
    </xf>
    <xf numFmtId="0" fontId="93" fillId="0" borderId="131" xfId="0" applyFont="1" applyBorder="1" applyAlignment="1">
      <alignment vertical="center"/>
    </xf>
    <xf numFmtId="0" fontId="88" fillId="5" borderId="27" xfId="0" applyFont="1" applyFill="1" applyBorder="1"/>
    <xf numFmtId="0" fontId="88" fillId="7" borderId="0" xfId="0" applyFont="1" applyFill="1" applyBorder="1"/>
    <xf numFmtId="0" fontId="90" fillId="0" borderId="121" xfId="0" applyFont="1" applyFill="1" applyBorder="1" applyAlignment="1">
      <alignment horizontal="left" vertical="center"/>
    </xf>
    <xf numFmtId="0" fontId="90" fillId="0" borderId="0" xfId="0" applyFont="1" applyFill="1" applyBorder="1" applyAlignment="1">
      <alignment horizontal="center" vertical="center" wrapText="1"/>
    </xf>
    <xf numFmtId="0" fontId="87" fillId="0" borderId="0" xfId="0" applyFont="1" applyFill="1" applyBorder="1" applyAlignment="1">
      <alignment horizontal="right"/>
    </xf>
    <xf numFmtId="0" fontId="87" fillId="6" borderId="14" xfId="0" applyFont="1" applyFill="1" applyBorder="1" applyAlignment="1"/>
    <xf numFmtId="0" fontId="90" fillId="6" borderId="11" xfId="0" applyFont="1" applyFill="1" applyBorder="1" applyAlignment="1">
      <alignment horizontal="left"/>
    </xf>
    <xf numFmtId="0" fontId="90" fillId="6" borderId="15" xfId="0" applyFont="1" applyFill="1" applyBorder="1" applyAlignment="1">
      <alignment horizontal="center" wrapText="1"/>
    </xf>
    <xf numFmtId="0" fontId="90" fillId="6" borderId="16" xfId="0" applyFont="1" applyFill="1" applyBorder="1" applyAlignment="1">
      <alignment horizontal="center" wrapText="1"/>
    </xf>
    <xf numFmtId="0" fontId="88" fillId="0" borderId="24" xfId="0" applyFont="1" applyBorder="1"/>
    <xf numFmtId="0" fontId="88" fillId="0" borderId="21" xfId="0" applyFont="1" applyFill="1" applyBorder="1"/>
    <xf numFmtId="0" fontId="88" fillId="0" borderId="44" xfId="0" applyFont="1" applyBorder="1"/>
    <xf numFmtId="0" fontId="87" fillId="6" borderId="119" xfId="0" applyFont="1" applyFill="1" applyBorder="1" applyAlignment="1">
      <alignment wrapText="1"/>
    </xf>
    <xf numFmtId="0" fontId="94" fillId="6" borderId="48" xfId="0" applyFont="1" applyFill="1" applyBorder="1" applyAlignment="1">
      <alignment horizontal="centerContinuous" wrapText="1"/>
    </xf>
    <xf numFmtId="0" fontId="88" fillId="6" borderId="117" xfId="0" applyFont="1" applyFill="1" applyBorder="1" applyAlignment="1">
      <alignment horizontal="centerContinuous" wrapText="1"/>
    </xf>
    <xf numFmtId="0" fontId="88" fillId="6" borderId="120" xfId="0" applyFont="1" applyFill="1" applyBorder="1" applyAlignment="1">
      <alignment horizontal="centerContinuous" wrapText="1"/>
    </xf>
    <xf numFmtId="0" fontId="87" fillId="6" borderId="78" xfId="0" applyFont="1" applyFill="1" applyBorder="1" applyAlignment="1">
      <alignment horizontal="center" wrapText="1"/>
    </xf>
    <xf numFmtId="0" fontId="95" fillId="6" borderId="52" xfId="0" applyFont="1" applyFill="1" applyBorder="1" applyAlignment="1">
      <alignment wrapText="1"/>
    </xf>
    <xf numFmtId="0" fontId="88" fillId="6" borderId="49" xfId="0" applyFont="1" applyFill="1" applyBorder="1" applyAlignment="1">
      <alignment wrapText="1"/>
    </xf>
    <xf numFmtId="0" fontId="88" fillId="6" borderId="53" xfId="0" applyFont="1" applyFill="1" applyBorder="1" applyAlignment="1">
      <alignment wrapText="1"/>
    </xf>
    <xf numFmtId="0" fontId="95" fillId="6" borderId="53" xfId="0" applyFont="1" applyFill="1" applyBorder="1" applyAlignment="1">
      <alignment wrapText="1"/>
    </xf>
    <xf numFmtId="0" fontId="88" fillId="6" borderId="54" xfId="0" applyFont="1" applyFill="1" applyBorder="1" applyAlignment="1">
      <alignment wrapText="1"/>
    </xf>
    <xf numFmtId="0" fontId="88" fillId="0" borderId="55" xfId="0" applyFont="1" applyBorder="1"/>
    <xf numFmtId="0" fontId="96" fillId="4" borderId="19" xfId="0" applyFont="1" applyFill="1" applyBorder="1"/>
    <xf numFmtId="0" fontId="96" fillId="4" borderId="21" xfId="0" applyFont="1" applyFill="1" applyBorder="1"/>
    <xf numFmtId="0" fontId="88" fillId="4" borderId="52" xfId="0" applyFont="1" applyFill="1" applyBorder="1"/>
    <xf numFmtId="0" fontId="88" fillId="4" borderId="49" xfId="0" applyFont="1" applyFill="1" applyBorder="1"/>
    <xf numFmtId="0" fontId="96" fillId="0" borderId="19" xfId="0" applyFont="1" applyBorder="1"/>
    <xf numFmtId="0" fontId="96" fillId="0" borderId="21" xfId="0" applyFont="1" applyBorder="1"/>
    <xf numFmtId="0" fontId="88" fillId="0" borderId="56" xfId="0" applyFont="1" applyBorder="1"/>
    <xf numFmtId="0" fontId="94" fillId="8" borderId="27" xfId="0" applyFont="1" applyFill="1" applyBorder="1" applyAlignment="1">
      <alignment horizontal="right"/>
    </xf>
    <xf numFmtId="0" fontId="88" fillId="8" borderId="29" xfId="0" applyFont="1" applyFill="1" applyBorder="1" applyAlignment="1">
      <alignment horizontal="right"/>
    </xf>
    <xf numFmtId="0" fontId="88" fillId="8" borderId="32" xfId="0" applyFont="1" applyFill="1" applyBorder="1"/>
    <xf numFmtId="0" fontId="88" fillId="8" borderId="29" xfId="0" applyFont="1" applyFill="1" applyBorder="1"/>
    <xf numFmtId="0" fontId="88" fillId="8" borderId="33" xfId="0" applyFont="1" applyFill="1" applyBorder="1"/>
    <xf numFmtId="0" fontId="88" fillId="0" borderId="0" xfId="0" applyFont="1" applyBorder="1" applyAlignment="1"/>
    <xf numFmtId="0" fontId="90" fillId="0" borderId="0" xfId="0" applyFont="1" applyBorder="1" applyAlignment="1">
      <alignment horizontal="center" vertical="center" wrapText="1"/>
    </xf>
    <xf numFmtId="0" fontId="87" fillId="7" borderId="0" xfId="0" applyFont="1" applyFill="1" applyBorder="1" applyAlignment="1">
      <alignment horizontal="right" wrapText="1"/>
    </xf>
    <xf numFmtId="0" fontId="88" fillId="7" borderId="0" xfId="0" applyFont="1" applyFill="1" applyBorder="1" applyAlignment="1">
      <alignment horizontal="right" wrapText="1"/>
    </xf>
    <xf numFmtId="0" fontId="88" fillId="7" borderId="0" xfId="0" applyFont="1" applyFill="1" applyBorder="1" applyAlignment="1">
      <alignment wrapText="1"/>
    </xf>
    <xf numFmtId="0" fontId="88" fillId="0" borderId="0" xfId="0" applyFont="1" applyAlignment="1">
      <alignment wrapText="1"/>
    </xf>
    <xf numFmtId="0" fontId="87" fillId="6" borderId="118" xfId="0" applyFont="1" applyFill="1" applyBorder="1" applyAlignment="1">
      <alignment wrapText="1"/>
    </xf>
    <xf numFmtId="0" fontId="90" fillId="6" borderId="15" xfId="0" applyFont="1" applyFill="1" applyBorder="1" applyAlignment="1">
      <alignment wrapText="1"/>
    </xf>
    <xf numFmtId="0" fontId="90" fillId="6" borderId="11" xfId="0" applyFont="1" applyFill="1" applyBorder="1" applyAlignment="1">
      <alignment wrapText="1"/>
    </xf>
    <xf numFmtId="0" fontId="87" fillId="6" borderId="57" xfId="0" applyFont="1" applyFill="1" applyBorder="1" applyAlignment="1">
      <alignment wrapText="1"/>
    </xf>
    <xf numFmtId="0" fontId="95" fillId="6" borderId="58" xfId="0" applyFont="1" applyFill="1" applyBorder="1" applyAlignment="1">
      <alignment wrapText="1"/>
    </xf>
    <xf numFmtId="0" fontId="88" fillId="6" borderId="15" xfId="0" applyFont="1" applyFill="1" applyBorder="1" applyAlignment="1">
      <alignment wrapText="1"/>
    </xf>
    <xf numFmtId="0" fontId="88" fillId="6" borderId="59" xfId="0" applyFont="1" applyFill="1" applyBorder="1" applyAlignment="1">
      <alignment wrapText="1"/>
    </xf>
    <xf numFmtId="0" fontId="95" fillId="6" borderId="59" xfId="0" applyFont="1" applyFill="1" applyBorder="1" applyAlignment="1">
      <alignment wrapText="1"/>
    </xf>
    <xf numFmtId="0" fontId="88" fillId="6" borderId="60" xfId="0" applyFont="1" applyFill="1" applyBorder="1" applyAlignment="1">
      <alignment wrapText="1"/>
    </xf>
    <xf numFmtId="0" fontId="90" fillId="4" borderId="21" xfId="0" applyFont="1" applyFill="1" applyBorder="1"/>
    <xf numFmtId="0" fontId="88" fillId="8" borderId="61" xfId="0" applyFont="1" applyFill="1" applyBorder="1"/>
    <xf numFmtId="0" fontId="88" fillId="4" borderId="53" xfId="0" applyFont="1" applyFill="1" applyBorder="1"/>
    <xf numFmtId="0" fontId="88" fillId="4" borderId="54" xfId="0" applyFont="1" applyFill="1" applyBorder="1"/>
    <xf numFmtId="0" fontId="90" fillId="0" borderId="21" xfId="0" applyFont="1" applyBorder="1"/>
    <xf numFmtId="0" fontId="93" fillId="0" borderId="21" xfId="0" applyFont="1" applyBorder="1"/>
    <xf numFmtId="0" fontId="93" fillId="0" borderId="20" xfId="0" applyFont="1" applyBorder="1"/>
    <xf numFmtId="0" fontId="87" fillId="8" borderId="27" xfId="0" applyFont="1" applyFill="1" applyBorder="1" applyAlignment="1">
      <alignment horizontal="right"/>
    </xf>
    <xf numFmtId="0" fontId="87" fillId="8" borderId="30" xfId="0" applyFont="1" applyFill="1" applyBorder="1" applyAlignment="1">
      <alignment horizontal="right"/>
    </xf>
    <xf numFmtId="0" fontId="87" fillId="8" borderId="32" xfId="0" applyFont="1" applyFill="1" applyBorder="1" applyAlignment="1">
      <alignment horizontal="right"/>
    </xf>
    <xf numFmtId="0" fontId="88" fillId="8" borderId="28" xfId="0" applyFont="1" applyFill="1" applyBorder="1"/>
    <xf numFmtId="0" fontId="93" fillId="0" borderId="0" xfId="0" applyFont="1" applyBorder="1" applyAlignment="1"/>
    <xf numFmtId="0" fontId="87" fillId="7" borderId="0" xfId="0" applyFont="1" applyFill="1" applyBorder="1" applyAlignment="1">
      <alignment horizontal="right"/>
    </xf>
    <xf numFmtId="0" fontId="87" fillId="7" borderId="0" xfId="0" applyFont="1" applyFill="1" applyBorder="1"/>
    <xf numFmtId="0" fontId="87" fillId="9" borderId="0" xfId="0" applyFont="1" applyFill="1" applyAlignment="1"/>
    <xf numFmtId="0" fontId="87" fillId="9" borderId="0" xfId="0" applyFont="1" applyFill="1"/>
    <xf numFmtId="0" fontId="90" fillId="9" borderId="0" xfId="0" applyFont="1" applyFill="1"/>
    <xf numFmtId="0" fontId="90" fillId="0" borderId="0" xfId="0" applyFont="1" applyFill="1"/>
    <xf numFmtId="0" fontId="87" fillId="9" borderId="118" xfId="0" applyFont="1" applyFill="1" applyBorder="1" applyAlignment="1">
      <alignment wrapText="1"/>
    </xf>
    <xf numFmtId="0" fontId="87" fillId="9" borderId="119" xfId="0" applyFont="1" applyFill="1" applyBorder="1" applyAlignment="1">
      <alignment horizontal="center" wrapText="1"/>
    </xf>
    <xf numFmtId="0" fontId="90" fillId="9" borderId="11" xfId="0" applyFont="1" applyFill="1" applyBorder="1" applyAlignment="1">
      <alignment wrapText="1"/>
    </xf>
    <xf numFmtId="0" fontId="87" fillId="9" borderId="57" xfId="0" applyFont="1" applyFill="1" applyBorder="1" applyAlignment="1">
      <alignment wrapText="1"/>
    </xf>
    <xf numFmtId="0" fontId="90" fillId="9" borderId="62" xfId="0" applyFont="1" applyFill="1" applyBorder="1" applyAlignment="1">
      <alignment wrapText="1"/>
    </xf>
    <xf numFmtId="0" fontId="90" fillId="9" borderId="15" xfId="0" applyFont="1" applyFill="1" applyBorder="1" applyAlignment="1">
      <alignment wrapText="1"/>
    </xf>
    <xf numFmtId="0" fontId="90" fillId="9" borderId="16" xfId="0" applyFont="1" applyFill="1" applyBorder="1" applyAlignment="1">
      <alignment wrapText="1"/>
    </xf>
    <xf numFmtId="0" fontId="88" fillId="4" borderId="61" xfId="0" applyFont="1" applyFill="1" applyBorder="1"/>
    <xf numFmtId="0" fontId="88" fillId="4" borderId="56" xfId="0" applyFont="1" applyFill="1" applyBorder="1"/>
    <xf numFmtId="0" fontId="88" fillId="0" borderId="61" xfId="0" applyFont="1" applyBorder="1"/>
    <xf numFmtId="0" fontId="87" fillId="8" borderId="63" xfId="0" applyFont="1" applyFill="1" applyBorder="1"/>
    <xf numFmtId="0" fontId="87" fillId="10" borderId="0" xfId="0" applyFont="1" applyFill="1" applyAlignment="1"/>
    <xf numFmtId="0" fontId="87" fillId="10" borderId="0" xfId="0" applyFont="1" applyFill="1"/>
    <xf numFmtId="0" fontId="88" fillId="10" borderId="0" xfId="0" applyFont="1" applyFill="1"/>
    <xf numFmtId="0" fontId="88" fillId="7" borderId="0" xfId="0" applyFont="1" applyFill="1"/>
    <xf numFmtId="0" fontId="87" fillId="0" borderId="0" xfId="0" applyFont="1" applyFill="1" applyAlignment="1"/>
    <xf numFmtId="0" fontId="87" fillId="0" borderId="0" xfId="0" applyFont="1" applyFill="1"/>
    <xf numFmtId="0" fontId="94" fillId="11" borderId="48" xfId="0" applyFont="1" applyFill="1" applyBorder="1" applyAlignment="1">
      <alignment horizontal="centerContinuous" wrapText="1"/>
    </xf>
    <xf numFmtId="0" fontId="94" fillId="11" borderId="117" xfId="0" applyFont="1" applyFill="1" applyBorder="1" applyAlignment="1">
      <alignment horizontal="centerContinuous" wrapText="1"/>
    </xf>
    <xf numFmtId="0" fontId="94" fillId="11" borderId="120" xfId="0" applyFont="1" applyFill="1" applyBorder="1" applyAlignment="1">
      <alignment horizontal="centerContinuous" wrapText="1"/>
    </xf>
    <xf numFmtId="0" fontId="88" fillId="11" borderId="20" xfId="0" applyFont="1" applyFill="1" applyBorder="1" applyAlignment="1">
      <alignment wrapText="1"/>
    </xf>
    <xf numFmtId="0" fontId="88" fillId="11" borderId="21" xfId="0" applyFont="1" applyFill="1" applyBorder="1" applyAlignment="1">
      <alignment wrapText="1"/>
    </xf>
    <xf numFmtId="0" fontId="95" fillId="11" borderId="52" xfId="0" applyFont="1" applyFill="1" applyBorder="1" applyAlignment="1">
      <alignment wrapText="1"/>
    </xf>
    <xf numFmtId="0" fontId="88" fillId="11" borderId="49" xfId="0" applyFont="1" applyFill="1" applyBorder="1" applyAlignment="1">
      <alignment wrapText="1"/>
    </xf>
    <xf numFmtId="0" fontId="88" fillId="11" borderId="53" xfId="0" applyFont="1" applyFill="1" applyBorder="1" applyAlignment="1">
      <alignment wrapText="1"/>
    </xf>
    <xf numFmtId="0" fontId="95" fillId="11" borderId="53" xfId="0" applyFont="1" applyFill="1" applyBorder="1" applyAlignment="1">
      <alignment wrapText="1"/>
    </xf>
    <xf numFmtId="0" fontId="88" fillId="11" borderId="54" xfId="0" applyFont="1" applyFill="1" applyBorder="1" applyAlignment="1">
      <alignment wrapText="1"/>
    </xf>
    <xf numFmtId="0" fontId="88" fillId="0" borderId="0" xfId="0" applyFont="1" applyBorder="1" applyAlignment="1">
      <alignment horizontal="left" vertical="center"/>
    </xf>
    <xf numFmtId="0" fontId="88" fillId="0" borderId="0" xfId="0" applyFont="1" applyBorder="1" applyAlignment="1">
      <alignment horizontal="left" vertical="center" wrapText="1"/>
    </xf>
    <xf numFmtId="0" fontId="87" fillId="0" borderId="0" xfId="0" applyFont="1" applyBorder="1" applyAlignment="1">
      <alignment horizontal="right"/>
    </xf>
    <xf numFmtId="0" fontId="94" fillId="0" borderId="0" xfId="0" applyFont="1" applyFill="1" applyAlignment="1"/>
    <xf numFmtId="0" fontId="94" fillId="0" borderId="0" xfId="0" applyFont="1" applyFill="1"/>
    <xf numFmtId="0" fontId="94" fillId="11" borderId="122" xfId="0" applyFont="1" applyFill="1" applyBorder="1" applyAlignment="1">
      <alignment wrapText="1"/>
    </xf>
    <xf numFmtId="0" fontId="88" fillId="11" borderId="123" xfId="0" applyFont="1" applyFill="1" applyBorder="1" applyAlignment="1">
      <alignment horizontal="center" wrapText="1"/>
    </xf>
    <xf numFmtId="0" fontId="88" fillId="11" borderId="12" xfId="0" applyFont="1" applyFill="1" applyBorder="1" applyAlignment="1">
      <alignment horizontal="centerContinuous" wrapText="1"/>
    </xf>
    <xf numFmtId="0" fontId="88" fillId="11" borderId="117" xfId="0" applyFont="1" applyFill="1" applyBorder="1" applyAlignment="1">
      <alignment horizontal="centerContinuous" wrapText="1"/>
    </xf>
    <xf numFmtId="0" fontId="88" fillId="11" borderId="57" xfId="0" applyFont="1" applyFill="1" applyBorder="1" applyAlignment="1">
      <alignment horizontal="centerContinuous" wrapText="1"/>
    </xf>
    <xf numFmtId="0" fontId="94" fillId="11" borderId="17" xfId="0" applyFont="1" applyFill="1" applyBorder="1" applyAlignment="1">
      <alignment wrapText="1"/>
    </xf>
    <xf numFmtId="0" fontId="88" fillId="11" borderId="50" xfId="0" applyFont="1" applyFill="1" applyBorder="1" applyAlignment="1">
      <alignment horizontal="center" wrapText="1"/>
    </xf>
    <xf numFmtId="0" fontId="90" fillId="11" borderId="21" xfId="0" applyFont="1" applyFill="1" applyBorder="1" applyAlignment="1">
      <alignment wrapText="1"/>
    </xf>
    <xf numFmtId="0" fontId="94" fillId="11" borderId="64" xfId="0" applyFont="1" applyFill="1" applyBorder="1" applyAlignment="1">
      <alignment wrapText="1"/>
    </xf>
    <xf numFmtId="0" fontId="88" fillId="8" borderId="64" xfId="0" applyFont="1" applyFill="1" applyBorder="1"/>
    <xf numFmtId="0" fontId="94" fillId="8" borderId="65" xfId="0" applyFont="1" applyFill="1" applyBorder="1"/>
    <xf numFmtId="0" fontId="90" fillId="0" borderId="0" xfId="0" applyFont="1" applyFill="1" applyBorder="1" applyAlignment="1">
      <alignment horizontal="left" vertical="center"/>
    </xf>
    <xf numFmtId="0" fontId="87" fillId="0" borderId="0" xfId="0" applyFont="1" applyFill="1" applyBorder="1"/>
    <xf numFmtId="0" fontId="87" fillId="12" borderId="0" xfId="0" applyFont="1" applyFill="1" applyAlignment="1"/>
    <xf numFmtId="0" fontId="87" fillId="12" borderId="0" xfId="0" applyFont="1" applyFill="1"/>
    <xf numFmtId="0" fontId="88" fillId="12" borderId="0" xfId="0" applyFont="1" applyFill="1"/>
    <xf numFmtId="0" fontId="90" fillId="0" borderId="0" xfId="0" applyFont="1" applyBorder="1" applyAlignment="1">
      <alignment horizontal="left"/>
    </xf>
    <xf numFmtId="0" fontId="88" fillId="12" borderId="124" xfId="0" applyFont="1" applyFill="1" applyBorder="1" applyAlignment="1">
      <alignment horizontal="centerContinuous" wrapText="1"/>
    </xf>
    <xf numFmtId="0" fontId="88" fillId="12" borderId="125" xfId="0" applyFont="1" applyFill="1" applyBorder="1" applyAlignment="1">
      <alignment horizontal="centerContinuous" wrapText="1"/>
    </xf>
    <xf numFmtId="0" fontId="88" fillId="12" borderId="126" xfId="0" applyFont="1" applyFill="1" applyBorder="1" applyAlignment="1">
      <alignment horizontal="centerContinuous" wrapText="1"/>
    </xf>
    <xf numFmtId="0" fontId="94" fillId="12" borderId="53" xfId="0" applyFont="1" applyFill="1" applyBorder="1" applyAlignment="1">
      <alignment wrapText="1"/>
    </xf>
    <xf numFmtId="0" fontId="95" fillId="12" borderId="53" xfId="0" applyFont="1" applyFill="1" applyBorder="1" applyAlignment="1">
      <alignment wrapText="1"/>
    </xf>
    <xf numFmtId="0" fontId="94" fillId="12" borderId="49" xfId="0" applyFont="1" applyFill="1" applyBorder="1" applyAlignment="1">
      <alignment wrapText="1"/>
    </xf>
    <xf numFmtId="0" fontId="94" fillId="12" borderId="50" xfId="0" applyFont="1" applyFill="1" applyBorder="1" applyAlignment="1">
      <alignment wrapText="1"/>
    </xf>
    <xf numFmtId="0" fontId="88" fillId="12" borderId="53" xfId="0" applyFont="1" applyFill="1" applyBorder="1" applyAlignment="1">
      <alignment wrapText="1"/>
    </xf>
    <xf numFmtId="0" fontId="88" fillId="12" borderId="50" xfId="0" applyFont="1" applyFill="1" applyBorder="1" applyAlignment="1">
      <alignment wrapText="1"/>
    </xf>
    <xf numFmtId="0" fontId="88" fillId="12" borderId="70" xfId="0" applyFont="1" applyFill="1" applyBorder="1" applyAlignment="1">
      <alignment wrapText="1"/>
    </xf>
    <xf numFmtId="0" fontId="88" fillId="8" borderId="19" xfId="0" applyFont="1" applyFill="1" applyBorder="1"/>
    <xf numFmtId="0" fontId="88" fillId="8" borderId="27" xfId="0" applyFont="1" applyFill="1" applyBorder="1"/>
    <xf numFmtId="0" fontId="88" fillId="8" borderId="63" xfId="0" applyFont="1" applyFill="1" applyBorder="1"/>
    <xf numFmtId="0" fontId="88" fillId="12" borderId="117" xfId="0" applyFont="1" applyFill="1" applyBorder="1" applyAlignment="1">
      <alignment horizontal="centerContinuous" wrapText="1"/>
    </xf>
    <xf numFmtId="0" fontId="88" fillId="12" borderId="129" xfId="0" applyFont="1" applyFill="1" applyBorder="1" applyAlignment="1">
      <alignment horizontal="centerContinuous" wrapText="1"/>
    </xf>
    <xf numFmtId="0" fontId="88" fillId="12" borderId="120" xfId="0" applyFont="1" applyFill="1" applyBorder="1" applyAlignment="1">
      <alignment horizontal="centerContinuous" wrapText="1"/>
    </xf>
    <xf numFmtId="0" fontId="88" fillId="12" borderId="20" xfId="0" applyFont="1" applyFill="1" applyBorder="1" applyAlignment="1">
      <alignment wrapText="1"/>
    </xf>
    <xf numFmtId="0" fontId="88" fillId="12" borderId="21" xfId="0" applyFont="1" applyFill="1" applyBorder="1" applyAlignment="1">
      <alignment wrapText="1"/>
    </xf>
    <xf numFmtId="0" fontId="88" fillId="12" borderId="22" xfId="0" applyFont="1" applyFill="1" applyBorder="1" applyAlignment="1">
      <alignment wrapText="1"/>
    </xf>
    <xf numFmtId="0" fontId="94" fillId="12" borderId="19" xfId="0" applyFont="1" applyFill="1" applyBorder="1" applyAlignment="1">
      <alignment wrapText="1"/>
    </xf>
    <xf numFmtId="0" fontId="88" fillId="12" borderId="24" xfId="0" applyFont="1" applyFill="1" applyBorder="1" applyAlignment="1">
      <alignment wrapText="1"/>
    </xf>
    <xf numFmtId="0" fontId="96" fillId="4" borderId="64" xfId="0" applyFont="1" applyFill="1" applyBorder="1"/>
    <xf numFmtId="0" fontId="96" fillId="0" borderId="64" xfId="0" applyFont="1" applyBorder="1"/>
    <xf numFmtId="0" fontId="94" fillId="8" borderId="65" xfId="0" applyFont="1" applyFill="1" applyBorder="1" applyAlignment="1">
      <alignment horizontal="right"/>
    </xf>
    <xf numFmtId="0" fontId="94" fillId="8" borderId="33" xfId="0" applyFont="1" applyFill="1" applyBorder="1"/>
    <xf numFmtId="0" fontId="88" fillId="0" borderId="0" xfId="0" applyFont="1" applyBorder="1" applyAlignment="1">
      <alignment horizontal="left"/>
    </xf>
    <xf numFmtId="0" fontId="88" fillId="0" borderId="0" xfId="0" applyFont="1" applyBorder="1" applyAlignment="1">
      <alignment horizontal="center" vertical="center" wrapText="1"/>
    </xf>
    <xf numFmtId="0" fontId="94" fillId="7" borderId="55" xfId="0" applyFont="1" applyFill="1" applyBorder="1" applyAlignment="1">
      <alignment horizontal="right"/>
    </xf>
    <xf numFmtId="0" fontId="88" fillId="7" borderId="121" xfId="0" applyFont="1" applyFill="1" applyBorder="1"/>
    <xf numFmtId="0" fontId="94" fillId="7" borderId="0" xfId="0" applyFont="1" applyFill="1" applyBorder="1"/>
    <xf numFmtId="0" fontId="88" fillId="0" borderId="74" xfId="0" applyFont="1" applyBorder="1"/>
    <xf numFmtId="0" fontId="94" fillId="12" borderId="35" xfId="0" applyFont="1" applyFill="1" applyBorder="1" applyAlignment="1">
      <alignment horizontal="left" wrapText="1"/>
    </xf>
    <xf numFmtId="0" fontId="88" fillId="12" borderId="15" xfId="0" applyFont="1" applyFill="1" applyBorder="1" applyAlignment="1">
      <alignment horizontal="center" vertical="center" wrapText="1"/>
    </xf>
    <xf numFmtId="0" fontId="94" fillId="12" borderId="75" xfId="0" applyFont="1" applyFill="1" applyBorder="1" applyAlignment="1">
      <alignment horizontal="right"/>
    </xf>
    <xf numFmtId="0" fontId="88" fillId="12" borderId="15" xfId="0" applyFont="1" applyFill="1" applyBorder="1" applyAlignment="1">
      <alignment wrapText="1"/>
    </xf>
    <xf numFmtId="0" fontId="88" fillId="12" borderId="117" xfId="0" applyFont="1" applyFill="1" applyBorder="1" applyAlignment="1">
      <alignment wrapText="1"/>
    </xf>
    <xf numFmtId="0" fontId="88" fillId="12" borderId="16" xfId="0" applyFont="1" applyFill="1" applyBorder="1" applyAlignment="1">
      <alignment wrapText="1"/>
    </xf>
    <xf numFmtId="0" fontId="94" fillId="12" borderId="76" xfId="0" applyFont="1" applyFill="1" applyBorder="1" applyAlignment="1">
      <alignment wrapText="1"/>
    </xf>
    <xf numFmtId="0" fontId="88" fillId="0" borderId="100" xfId="0" applyFont="1" applyBorder="1"/>
    <xf numFmtId="0" fontId="94" fillId="4" borderId="20" xfId="0" applyFont="1" applyFill="1" applyBorder="1" applyAlignment="1">
      <alignment horizontal="right"/>
    </xf>
    <xf numFmtId="0" fontId="94" fillId="4" borderId="79" xfId="0" applyFont="1" applyFill="1" applyBorder="1"/>
    <xf numFmtId="0" fontId="88" fillId="4" borderId="80" xfId="0" applyFont="1" applyFill="1" applyBorder="1"/>
    <xf numFmtId="0" fontId="94" fillId="7" borderId="20" xfId="0" applyFont="1" applyFill="1" applyBorder="1" applyAlignment="1">
      <alignment horizontal="right"/>
    </xf>
    <xf numFmtId="0" fontId="88" fillId="7" borderId="21" xfId="0" applyFont="1" applyFill="1" applyBorder="1"/>
    <xf numFmtId="0" fontId="88" fillId="7" borderId="24" xfId="0" applyFont="1" applyFill="1" applyBorder="1"/>
    <xf numFmtId="0" fontId="94" fillId="8" borderId="79" xfId="0" applyFont="1" applyFill="1" applyBorder="1"/>
    <xf numFmtId="0" fontId="88" fillId="8" borderId="80" xfId="0" applyFont="1" applyFill="1" applyBorder="1"/>
    <xf numFmtId="0" fontId="94" fillId="7" borderId="83" xfId="0" applyFont="1" applyFill="1" applyBorder="1" applyAlignment="1">
      <alignment horizontal="right"/>
    </xf>
    <xf numFmtId="0" fontId="88" fillId="7" borderId="83" xfId="0" applyFont="1" applyFill="1" applyBorder="1"/>
    <xf numFmtId="0" fontId="94" fillId="8" borderId="85" xfId="0" applyFont="1" applyFill="1" applyBorder="1" applyAlignment="1">
      <alignment horizontal="right"/>
    </xf>
    <xf numFmtId="0" fontId="88" fillId="8" borderId="30" xfId="0" applyFont="1" applyFill="1" applyBorder="1"/>
    <xf numFmtId="0" fontId="88" fillId="8" borderId="86" xfId="0" applyFont="1" applyFill="1" applyBorder="1"/>
    <xf numFmtId="0" fontId="90" fillId="0" borderId="0" xfId="0" applyFont="1" applyFill="1" applyBorder="1" applyAlignment="1">
      <alignment horizontal="left"/>
    </xf>
    <xf numFmtId="0" fontId="87" fillId="13" borderId="0" xfId="0" applyFont="1" applyFill="1" applyAlignment="1"/>
    <xf numFmtId="0" fontId="87" fillId="13" borderId="0" xfId="0" applyFont="1" applyFill="1"/>
    <xf numFmtId="0" fontId="88" fillId="13" borderId="0" xfId="0" applyFont="1" applyFill="1"/>
    <xf numFmtId="0" fontId="88" fillId="13" borderId="12" xfId="0" applyFont="1" applyFill="1" applyBorder="1" applyAlignment="1">
      <alignment horizontal="centerContinuous" wrapText="1"/>
    </xf>
    <xf numFmtId="0" fontId="88" fillId="13" borderId="117" xfId="0" applyFont="1" applyFill="1" applyBorder="1" applyAlignment="1">
      <alignment horizontal="centerContinuous" wrapText="1"/>
    </xf>
    <xf numFmtId="0" fontId="88" fillId="13" borderId="129" xfId="0" applyFont="1" applyFill="1" applyBorder="1" applyAlignment="1">
      <alignment horizontal="centerContinuous" wrapText="1"/>
    </xf>
    <xf numFmtId="0" fontId="88" fillId="13" borderId="57" xfId="0" applyFont="1" applyFill="1" applyBorder="1" applyAlignment="1">
      <alignment wrapText="1"/>
    </xf>
    <xf numFmtId="0" fontId="88" fillId="13" borderId="53" xfId="0" applyFont="1" applyFill="1" applyBorder="1" applyAlignment="1">
      <alignment wrapText="1"/>
    </xf>
    <xf numFmtId="0" fontId="88" fillId="13" borderId="49" xfId="0" applyFont="1" applyFill="1" applyBorder="1" applyAlignment="1">
      <alignment wrapText="1"/>
    </xf>
    <xf numFmtId="0" fontId="94" fillId="13" borderId="19" xfId="0" applyFont="1" applyFill="1" applyBorder="1" applyAlignment="1">
      <alignment wrapText="1"/>
    </xf>
    <xf numFmtId="0" fontId="87" fillId="13" borderId="70" xfId="0" applyFont="1" applyFill="1" applyBorder="1" applyAlignment="1">
      <alignment wrapText="1"/>
    </xf>
    <xf numFmtId="0" fontId="90" fillId="13" borderId="62" xfId="0" applyFont="1" applyFill="1" applyBorder="1" applyAlignment="1">
      <alignment wrapText="1"/>
    </xf>
    <xf numFmtId="0" fontId="90" fillId="13" borderId="15" xfId="0" applyFont="1" applyFill="1" applyBorder="1" applyAlignment="1">
      <alignment wrapText="1"/>
    </xf>
    <xf numFmtId="0" fontId="90" fillId="13" borderId="16" xfId="0" applyFont="1" applyFill="1" applyBorder="1" applyAlignment="1">
      <alignment wrapText="1"/>
    </xf>
    <xf numFmtId="0" fontId="88" fillId="0" borderId="61" xfId="0" applyFont="1" applyFill="1" applyBorder="1"/>
    <xf numFmtId="0" fontId="90" fillId="13" borderId="21" xfId="0" applyFont="1" applyFill="1" applyBorder="1" applyAlignment="1">
      <alignment wrapText="1"/>
    </xf>
    <xf numFmtId="0" fontId="87" fillId="13" borderId="64" xfId="0" applyFont="1" applyFill="1" applyBorder="1" applyAlignment="1">
      <alignment wrapText="1"/>
    </xf>
    <xf numFmtId="0" fontId="90" fillId="13" borderId="20" xfId="0" applyFont="1" applyFill="1" applyBorder="1" applyAlignment="1">
      <alignment wrapText="1"/>
    </xf>
    <xf numFmtId="0" fontId="90" fillId="13" borderId="24" xfId="0" applyFont="1" applyFill="1" applyBorder="1" applyAlignment="1">
      <alignment wrapText="1"/>
    </xf>
    <xf numFmtId="0" fontId="90" fillId="4" borderId="50" xfId="0" applyFont="1" applyFill="1" applyBorder="1"/>
    <xf numFmtId="0" fontId="88" fillId="8" borderId="73" xfId="0" applyFont="1" applyFill="1" applyBorder="1"/>
    <xf numFmtId="0" fontId="88" fillId="7" borderId="20" xfId="0" applyFont="1" applyFill="1" applyBorder="1"/>
    <xf numFmtId="0" fontId="88" fillId="8" borderId="65" xfId="0" applyFont="1" applyFill="1" applyBorder="1"/>
    <xf numFmtId="0" fontId="87" fillId="14" borderId="0" xfId="0" applyFont="1" applyFill="1" applyAlignment="1"/>
    <xf numFmtId="0" fontId="87" fillId="14" borderId="0" xfId="0" applyFont="1" applyFill="1"/>
    <xf numFmtId="0" fontId="88" fillId="14" borderId="0" xfId="0" applyFont="1" applyFill="1"/>
    <xf numFmtId="0" fontId="87" fillId="14" borderId="118" xfId="0" applyFont="1" applyFill="1" applyBorder="1" applyAlignment="1">
      <alignment wrapText="1"/>
    </xf>
    <xf numFmtId="0" fontId="87" fillId="14" borderId="15" xfId="0" applyFont="1" applyFill="1" applyBorder="1" applyAlignment="1">
      <alignment horizontal="center" wrapText="1"/>
    </xf>
    <xf numFmtId="0" fontId="90" fillId="14" borderId="11" xfId="0" applyFont="1" applyFill="1" applyBorder="1" applyAlignment="1">
      <alignment wrapText="1"/>
    </xf>
    <xf numFmtId="0" fontId="90" fillId="14" borderId="39" xfId="0" applyFont="1" applyFill="1" applyBorder="1" applyAlignment="1">
      <alignment wrapText="1"/>
    </xf>
    <xf numFmtId="0" fontId="90" fillId="14" borderId="15" xfId="0" applyFont="1" applyFill="1" applyBorder="1" applyAlignment="1">
      <alignment wrapText="1"/>
    </xf>
    <xf numFmtId="0" fontId="90" fillId="14" borderId="117" xfId="0" applyFont="1" applyFill="1" applyBorder="1" applyAlignment="1">
      <alignment wrapText="1"/>
    </xf>
    <xf numFmtId="0" fontId="90" fillId="14" borderId="88" xfId="0" applyFont="1" applyFill="1" applyBorder="1" applyAlignment="1">
      <alignment wrapText="1"/>
    </xf>
    <xf numFmtId="0" fontId="90" fillId="14" borderId="89" xfId="0" applyFont="1" applyFill="1" applyBorder="1" applyAlignment="1">
      <alignment wrapText="1"/>
    </xf>
    <xf numFmtId="0" fontId="90" fillId="14" borderId="16" xfId="0" applyFont="1" applyFill="1" applyBorder="1" applyAlignment="1">
      <alignment wrapText="1"/>
    </xf>
    <xf numFmtId="0" fontId="88" fillId="4" borderId="90" xfId="0" applyFont="1" applyFill="1" applyBorder="1"/>
    <xf numFmtId="0" fontId="88" fillId="4" borderId="91" xfId="0" applyFont="1" applyFill="1" applyBorder="1"/>
    <xf numFmtId="0" fontId="88" fillId="4" borderId="92" xfId="0" applyFont="1" applyFill="1" applyBorder="1"/>
    <xf numFmtId="0" fontId="88" fillId="0" borderId="90" xfId="0" applyFont="1" applyBorder="1"/>
    <xf numFmtId="0" fontId="88" fillId="0" borderId="91" xfId="0" applyFont="1" applyBorder="1"/>
    <xf numFmtId="0" fontId="88" fillId="0" borderId="92" xfId="0" applyFont="1" applyBorder="1"/>
    <xf numFmtId="0" fontId="88" fillId="0" borderId="93" xfId="0" applyFont="1" applyBorder="1"/>
    <xf numFmtId="0" fontId="88" fillId="0" borderId="78" xfId="0" applyFont="1" applyBorder="1"/>
    <xf numFmtId="0" fontId="88" fillId="0" borderId="94" xfId="0" applyFont="1" applyBorder="1"/>
    <xf numFmtId="0" fontId="88" fillId="0" borderId="83" xfId="0" applyFont="1" applyBorder="1"/>
    <xf numFmtId="0" fontId="88" fillId="0" borderId="95" xfId="0" applyFont="1" applyBorder="1"/>
    <xf numFmtId="0" fontId="88" fillId="0" borderId="96" xfId="0" applyFont="1" applyBorder="1"/>
    <xf numFmtId="0" fontId="88" fillId="0" borderId="97" xfId="0" applyFont="1" applyBorder="1"/>
    <xf numFmtId="0" fontId="87" fillId="11" borderId="118" xfId="0" applyFont="1" applyFill="1" applyBorder="1" applyAlignment="1">
      <alignment horizontal="left" vertical="center" wrapText="1"/>
    </xf>
    <xf numFmtId="0" fontId="87" fillId="11" borderId="15" xfId="0" applyFont="1" applyFill="1" applyBorder="1" applyAlignment="1">
      <alignment wrapText="1"/>
    </xf>
    <xf numFmtId="0" fontId="90" fillId="11" borderId="11" xfId="0" applyFont="1" applyFill="1" applyBorder="1" applyAlignment="1">
      <alignment wrapText="1"/>
    </xf>
    <xf numFmtId="0" fontId="90" fillId="11" borderId="15" xfId="0" applyFont="1" applyFill="1" applyBorder="1" applyAlignment="1">
      <alignment wrapText="1"/>
    </xf>
    <xf numFmtId="0" fontId="90" fillId="11" borderId="16" xfId="0" applyFont="1" applyFill="1" applyBorder="1" applyAlignment="1">
      <alignment wrapText="1"/>
    </xf>
    <xf numFmtId="0" fontId="88" fillId="0" borderId="100" xfId="0" applyFont="1" applyBorder="1" applyAlignment="1"/>
    <xf numFmtId="2" fontId="90" fillId="0" borderId="21" xfId="0" applyNumberFormat="1" applyFont="1" applyBorder="1"/>
    <xf numFmtId="0" fontId="90" fillId="0" borderId="24" xfId="0" applyFont="1" applyBorder="1"/>
    <xf numFmtId="2" fontId="88" fillId="0" borderId="0" xfId="0" applyNumberFormat="1" applyFont="1"/>
    <xf numFmtId="0" fontId="88" fillId="0" borderId="100" xfId="0" applyFont="1" applyBorder="1" applyAlignment="1">
      <alignment wrapText="1"/>
    </xf>
    <xf numFmtId="0" fontId="88" fillId="0" borderId="25" xfId="0" applyFont="1" applyBorder="1" applyAlignment="1"/>
    <xf numFmtId="2" fontId="87" fillId="5" borderId="29" xfId="0" applyNumberFormat="1" applyFont="1" applyFill="1" applyBorder="1" applyAlignment="1">
      <alignment horizontal="right"/>
    </xf>
    <xf numFmtId="0" fontId="87" fillId="5" borderId="29" xfId="0" applyFont="1" applyFill="1" applyBorder="1" applyAlignment="1">
      <alignment horizontal="right"/>
    </xf>
    <xf numFmtId="0" fontId="87" fillId="5" borderId="33" xfId="0" applyFont="1" applyFill="1" applyBorder="1" applyAlignment="1">
      <alignment horizontal="right"/>
    </xf>
    <xf numFmtId="0" fontId="0" fillId="0" borderId="0" xfId="0" applyAlignment="1"/>
    <xf numFmtId="0" fontId="12" fillId="3" borderId="17" xfId="0" applyFont="1" applyFill="1" applyBorder="1" applyAlignment="1">
      <alignment vertical="center" wrapText="1"/>
    </xf>
    <xf numFmtId="0" fontId="12" fillId="3" borderId="18"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0" fillId="4" borderId="19" xfId="0" applyFill="1" applyBorder="1" applyAlignment="1">
      <alignment horizontal="center" vertical="center"/>
    </xf>
    <xf numFmtId="0" fontId="0" fillId="5" borderId="22" xfId="0" applyFill="1" applyBorder="1" applyAlignment="1">
      <alignment horizontal="center"/>
    </xf>
    <xf numFmtId="0" fontId="0" fillId="0" borderId="19" xfId="0" applyBorder="1" applyAlignment="1">
      <alignment horizontal="center" vertical="center"/>
    </xf>
    <xf numFmtId="0" fontId="65" fillId="0" borderId="20" xfId="0" applyFont="1" applyBorder="1" applyAlignment="1">
      <alignment horizontal="center" vertical="center"/>
    </xf>
    <xf numFmtId="0" fontId="65" fillId="0" borderId="21" xfId="0" applyFont="1" applyBorder="1" applyAlignment="1">
      <alignment horizontal="center" vertical="center"/>
    </xf>
    <xf numFmtId="0" fontId="65" fillId="5" borderId="22" xfId="0" applyFont="1" applyFill="1" applyBorder="1" applyAlignment="1">
      <alignment horizontal="center" vertical="center"/>
    </xf>
    <xf numFmtId="0" fontId="65" fillId="0" borderId="23" xfId="0" applyFont="1" applyBorder="1" applyAlignment="1">
      <alignment horizontal="center" vertical="center"/>
    </xf>
    <xf numFmtId="0" fontId="65" fillId="2" borderId="24" xfId="0" applyFont="1" applyFill="1" applyBorder="1" applyAlignment="1">
      <alignment horizontal="center" vertical="center"/>
    </xf>
    <xf numFmtId="0" fontId="0" fillId="5" borderId="22" xfId="0"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2" borderId="24" xfId="0" applyFill="1" applyBorder="1" applyAlignment="1">
      <alignment horizontal="center" vertical="center"/>
    </xf>
    <xf numFmtId="0" fontId="0" fillId="0" borderId="19" xfId="0" applyFill="1" applyBorder="1" applyAlignment="1">
      <alignment horizontal="center" vertical="center"/>
    </xf>
    <xf numFmtId="0" fontId="13" fillId="5" borderId="27"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30" xfId="0" applyFont="1" applyFill="1" applyBorder="1" applyAlignment="1">
      <alignment horizontal="center" vertical="center"/>
    </xf>
    <xf numFmtId="0" fontId="3" fillId="5" borderId="31" xfId="0" applyFont="1" applyFill="1" applyBorder="1" applyAlignment="1">
      <alignment horizontal="center" vertical="center"/>
    </xf>
    <xf numFmtId="0" fontId="3" fillId="5" borderId="32" xfId="0" applyFont="1" applyFill="1" applyBorder="1" applyAlignment="1">
      <alignment horizontal="center" vertical="center"/>
    </xf>
    <xf numFmtId="0" fontId="3" fillId="5" borderId="33" xfId="0" applyFont="1" applyFill="1" applyBorder="1" applyAlignment="1">
      <alignment horizontal="center" vertical="center"/>
    </xf>
    <xf numFmtId="0" fontId="12" fillId="3" borderId="119" xfId="0" applyFont="1" applyFill="1" applyBorder="1" applyAlignment="1">
      <alignment horizontal="center" wrapText="1"/>
    </xf>
    <xf numFmtId="0" fontId="13" fillId="3" borderId="34" xfId="0" applyFont="1" applyFill="1" applyBorder="1" applyAlignment="1">
      <alignment horizontal="center" wrapText="1"/>
    </xf>
    <xf numFmtId="0" fontId="12" fillId="3" borderId="100" xfId="0" applyFont="1" applyFill="1" applyBorder="1" applyAlignment="1">
      <alignment vertical="center" wrapText="1"/>
    </xf>
    <xf numFmtId="0" fontId="15" fillId="3" borderId="22" xfId="0" applyFont="1" applyFill="1" applyBorder="1" applyAlignment="1">
      <alignment horizontal="center" wrapText="1"/>
    </xf>
    <xf numFmtId="0" fontId="0" fillId="4" borderId="22" xfId="0" applyFill="1" applyBorder="1" applyAlignment="1">
      <alignment horizontal="center"/>
    </xf>
    <xf numFmtId="0" fontId="0" fillId="4" borderId="23" xfId="0" applyFill="1" applyBorder="1" applyAlignment="1">
      <alignment horizontal="center"/>
    </xf>
    <xf numFmtId="0" fontId="0" fillId="4" borderId="21" xfId="0" applyFill="1" applyBorder="1" applyAlignment="1">
      <alignment horizontal="center"/>
    </xf>
    <xf numFmtId="0" fontId="0" fillId="5" borderId="24" xfId="0" applyFill="1" applyBorder="1" applyAlignment="1">
      <alignment horizontal="center"/>
    </xf>
    <xf numFmtId="0" fontId="0" fillId="0" borderId="22" xfId="0" applyBorder="1" applyAlignment="1">
      <alignment horizontal="center"/>
    </xf>
    <xf numFmtId="0" fontId="65" fillId="0" borderId="23" xfId="0" applyFont="1" applyBorder="1" applyAlignment="1">
      <alignment horizontal="center"/>
    </xf>
    <xf numFmtId="0" fontId="65" fillId="0" borderId="21" xfId="0" applyFont="1" applyBorder="1" applyAlignment="1">
      <alignment horizontal="center"/>
    </xf>
    <xf numFmtId="3" fontId="65" fillId="0" borderId="23" xfId="0" applyNumberFormat="1" applyFont="1" applyBorder="1" applyAlignment="1">
      <alignment horizontal="center"/>
    </xf>
    <xf numFmtId="3" fontId="65" fillId="0" borderId="21" xfId="0" applyNumberFormat="1" applyFont="1" applyBorder="1" applyAlignment="1">
      <alignment horizontal="center"/>
    </xf>
    <xf numFmtId="3" fontId="0" fillId="5" borderId="24" xfId="0" applyNumberFormat="1" applyFill="1" applyBorder="1" applyAlignment="1">
      <alignment horizontal="center"/>
    </xf>
    <xf numFmtId="0" fontId="0" fillId="0" borderId="23" xfId="0" applyBorder="1" applyAlignment="1">
      <alignment horizontal="center"/>
    </xf>
    <xf numFmtId="0" fontId="0" fillId="0" borderId="21" xfId="0" applyBorder="1" applyAlignment="1">
      <alignment horizontal="center"/>
    </xf>
    <xf numFmtId="0" fontId="0" fillId="0" borderId="22" xfId="0" applyFill="1" applyBorder="1" applyAlignment="1">
      <alignment horizontal="center"/>
    </xf>
    <xf numFmtId="0" fontId="13" fillId="5" borderId="30" xfId="0" applyFont="1" applyFill="1" applyBorder="1" applyAlignment="1">
      <alignment horizontal="center"/>
    </xf>
    <xf numFmtId="3" fontId="3" fillId="5" borderId="31" xfId="0" applyNumberFormat="1" applyFont="1" applyFill="1" applyBorder="1" applyAlignment="1">
      <alignment horizontal="center"/>
    </xf>
    <xf numFmtId="3" fontId="3" fillId="5" borderId="29" xfId="0" applyNumberFormat="1" applyFont="1" applyFill="1" applyBorder="1" applyAlignment="1">
      <alignment horizontal="center"/>
    </xf>
    <xf numFmtId="3" fontId="3" fillId="5" borderId="33" xfId="0" applyNumberFormat="1" applyFont="1" applyFill="1" applyBorder="1" applyAlignment="1">
      <alignment horizontal="center"/>
    </xf>
    <xf numFmtId="0" fontId="12" fillId="6" borderId="118" xfId="0" applyFont="1" applyFill="1" applyBorder="1" applyAlignment="1">
      <alignment vertical="center"/>
    </xf>
    <xf numFmtId="0" fontId="12" fillId="6" borderId="119" xfId="0" applyFont="1" applyFill="1" applyBorder="1" applyAlignment="1">
      <alignment horizontal="center" vertical="center" wrapText="1"/>
    </xf>
    <xf numFmtId="0" fontId="15" fillId="6" borderId="11" xfId="0" applyFont="1" applyFill="1" applyBorder="1" applyAlignment="1">
      <alignment horizontal="center" vertical="center"/>
    </xf>
    <xf numFmtId="0" fontId="15" fillId="6" borderId="39" xfId="0" applyFont="1" applyFill="1" applyBorder="1" applyAlignment="1">
      <alignment horizontal="center" vertical="center" wrapText="1"/>
    </xf>
    <xf numFmtId="0" fontId="15" fillId="6" borderId="34" xfId="0" applyFont="1" applyFill="1" applyBorder="1" applyAlignment="1">
      <alignment horizontal="center" vertical="center" wrapText="1"/>
    </xf>
    <xf numFmtId="0" fontId="26" fillId="4" borderId="19" xfId="0" applyFont="1" applyFill="1" applyBorder="1" applyAlignment="1">
      <alignment horizontal="center"/>
    </xf>
    <xf numFmtId="0" fontId="26" fillId="0" borderId="19" xfId="0" applyFont="1" applyBorder="1" applyAlignment="1">
      <alignment horizontal="center"/>
    </xf>
    <xf numFmtId="0" fontId="65" fillId="0" borderId="20" xfId="0" applyFont="1" applyFill="1" applyBorder="1" applyAlignment="1">
      <alignment horizontal="center"/>
    </xf>
    <xf numFmtId="0" fontId="65" fillId="0" borderId="22" xfId="0" applyFont="1" applyFill="1" applyBorder="1" applyAlignment="1">
      <alignment horizontal="center"/>
    </xf>
    <xf numFmtId="3" fontId="65" fillId="0" borderId="0" xfId="0" applyNumberFormat="1" applyFont="1" applyAlignment="1">
      <alignment horizontal="center"/>
    </xf>
    <xf numFmtId="3" fontId="65" fillId="0" borderId="20" xfId="0" applyNumberFormat="1" applyFont="1" applyFill="1" applyBorder="1" applyAlignment="1">
      <alignment horizontal="center" vertical="center"/>
    </xf>
    <xf numFmtId="3" fontId="65" fillId="0" borderId="22" xfId="0" applyNumberFormat="1" applyFont="1" applyFill="1" applyBorder="1" applyAlignment="1">
      <alignment horizontal="center" vertical="center"/>
    </xf>
    <xf numFmtId="3" fontId="65" fillId="0" borderId="20" xfId="0" applyNumberFormat="1" applyFont="1" applyBorder="1" applyAlignment="1">
      <alignment horizontal="center"/>
    </xf>
    <xf numFmtId="3" fontId="65" fillId="0" borderId="22" xfId="0" applyNumberFormat="1" applyFont="1" applyBorder="1" applyAlignment="1">
      <alignment horizontal="center"/>
    </xf>
    <xf numFmtId="3" fontId="0" fillId="0" borderId="20" xfId="0" applyNumberFormat="1" applyBorder="1" applyAlignment="1">
      <alignment horizontal="center"/>
    </xf>
    <xf numFmtId="3" fontId="0" fillId="0" borderId="22" xfId="0" applyNumberFormat="1" applyBorder="1" applyAlignment="1">
      <alignment horizontal="center"/>
    </xf>
    <xf numFmtId="0" fontId="13" fillId="5" borderId="27" xfId="0" applyFont="1" applyFill="1" applyBorder="1" applyAlignment="1">
      <alignment horizontal="center"/>
    </xf>
    <xf numFmtId="3" fontId="3" fillId="5" borderId="28" xfId="0" applyNumberFormat="1" applyFont="1" applyFill="1" applyBorder="1" applyAlignment="1">
      <alignment horizontal="center"/>
    </xf>
    <xf numFmtId="3" fontId="3" fillId="5" borderId="30" xfId="0" applyNumberFormat="1" applyFont="1" applyFill="1" applyBorder="1" applyAlignment="1">
      <alignment horizontal="center"/>
    </xf>
    <xf numFmtId="0" fontId="12" fillId="6" borderId="14" xfId="0" applyFont="1" applyFill="1" applyBorder="1" applyAlignment="1">
      <alignment vertical="center"/>
    </xf>
    <xf numFmtId="0" fontId="15" fillId="6" borderId="15"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19" xfId="0" applyFont="1" applyFill="1" applyBorder="1" applyAlignment="1">
      <alignment horizontal="center"/>
    </xf>
    <xf numFmtId="0" fontId="65" fillId="0" borderId="21" xfId="0" applyFont="1" applyFill="1" applyBorder="1" applyAlignment="1">
      <alignment horizontal="center" vertical="center"/>
    </xf>
    <xf numFmtId="0" fontId="65" fillId="0" borderId="24" xfId="0" applyFont="1" applyFill="1" applyBorder="1" applyAlignment="1">
      <alignment horizontal="center" vertical="center"/>
    </xf>
    <xf numFmtId="0" fontId="0" fillId="0" borderId="20" xfId="0" applyFill="1" applyBorder="1" applyAlignment="1">
      <alignment horizontal="center"/>
    </xf>
    <xf numFmtId="0" fontId="0" fillId="0" borderId="21" xfId="0" applyFill="1" applyBorder="1" applyAlignment="1">
      <alignment horizontal="center" vertical="center"/>
    </xf>
    <xf numFmtId="0" fontId="0" fillId="0" borderId="24" xfId="0" applyFill="1" applyBorder="1" applyAlignment="1">
      <alignment horizontal="center" vertical="center"/>
    </xf>
    <xf numFmtId="0" fontId="65" fillId="0" borderId="20" xfId="0" applyFont="1" applyFill="1" applyBorder="1" applyAlignment="1">
      <alignment horizontal="center" vertical="center"/>
    </xf>
    <xf numFmtId="0" fontId="3" fillId="5" borderId="28" xfId="0" applyFont="1" applyFill="1" applyBorder="1" applyAlignment="1">
      <alignment horizontal="center"/>
    </xf>
    <xf numFmtId="0" fontId="3" fillId="5" borderId="29" xfId="0" applyFont="1" applyFill="1" applyBorder="1" applyAlignment="1">
      <alignment horizontal="center"/>
    </xf>
    <xf numFmtId="0" fontId="3" fillId="5" borderId="33" xfId="0" applyFont="1" applyFill="1" applyBorder="1" applyAlignment="1">
      <alignment horizontal="center"/>
    </xf>
    <xf numFmtId="0" fontId="29" fillId="6" borderId="48" xfId="0" applyFont="1" applyFill="1" applyBorder="1" applyAlignment="1">
      <alignment horizontal="center" vertical="center" wrapText="1"/>
    </xf>
    <xf numFmtId="0" fontId="28" fillId="6" borderId="117" xfId="0" applyFont="1" applyFill="1" applyBorder="1" applyAlignment="1">
      <alignment horizontal="center" vertical="center" wrapText="1"/>
    </xf>
    <xf numFmtId="0" fontId="28" fillId="6" borderId="120" xfId="0" applyFont="1" applyFill="1" applyBorder="1" applyAlignment="1">
      <alignment horizontal="center" vertical="center" wrapText="1"/>
    </xf>
    <xf numFmtId="0" fontId="12" fillId="6" borderId="78" xfId="0" applyFont="1" applyFill="1" applyBorder="1" applyAlignment="1">
      <alignment horizontal="center" vertical="center" wrapText="1"/>
    </xf>
    <xf numFmtId="0" fontId="30" fillId="6" borderId="52" xfId="0" applyFont="1" applyFill="1" applyBorder="1" applyAlignment="1">
      <alignment horizontal="center" vertical="center" wrapText="1"/>
    </xf>
    <xf numFmtId="0" fontId="28" fillId="6" borderId="49" xfId="0" applyFont="1" applyFill="1" applyBorder="1" applyAlignment="1">
      <alignment horizontal="center" vertical="center" wrapText="1"/>
    </xf>
    <xf numFmtId="0" fontId="28" fillId="6" borderId="53" xfId="0" applyFont="1" applyFill="1" applyBorder="1" applyAlignment="1">
      <alignment horizontal="center" vertical="center" wrapText="1"/>
    </xf>
    <xf numFmtId="0" fontId="30" fillId="6" borderId="53" xfId="0" applyFont="1" applyFill="1" applyBorder="1" applyAlignment="1">
      <alignment horizontal="center" vertical="center" wrapText="1"/>
    </xf>
    <xf numFmtId="0" fontId="28" fillId="6" borderId="54" xfId="0" applyFont="1" applyFill="1" applyBorder="1" applyAlignment="1">
      <alignment horizontal="center" vertical="center" wrapText="1"/>
    </xf>
    <xf numFmtId="0" fontId="33" fillId="4" borderId="19" xfId="0" applyFont="1" applyFill="1" applyBorder="1" applyAlignment="1">
      <alignment horizontal="center"/>
    </xf>
    <xf numFmtId="0" fontId="33" fillId="0" borderId="19" xfId="0" applyFont="1" applyBorder="1" applyAlignment="1">
      <alignment horizontal="center"/>
    </xf>
    <xf numFmtId="0" fontId="33" fillId="0" borderId="21" xfId="0" applyFont="1" applyBorder="1" applyAlignment="1">
      <alignment horizontal="center"/>
    </xf>
    <xf numFmtId="0" fontId="0" fillId="0" borderId="56" xfId="0" applyBorder="1" applyAlignment="1">
      <alignment horizontal="center"/>
    </xf>
    <xf numFmtId="0" fontId="0" fillId="0" borderId="24" xfId="0" applyBorder="1" applyAlignment="1">
      <alignment horizontal="center"/>
    </xf>
    <xf numFmtId="0" fontId="34" fillId="8" borderId="27" xfId="0" applyFont="1" applyFill="1" applyBorder="1" applyAlignment="1">
      <alignment horizontal="center"/>
    </xf>
    <xf numFmtId="0" fontId="3" fillId="8" borderId="29" xfId="0" applyFont="1" applyFill="1" applyBorder="1" applyAlignment="1">
      <alignment horizontal="center"/>
    </xf>
    <xf numFmtId="0" fontId="3" fillId="8" borderId="32" xfId="0" applyFont="1" applyFill="1" applyBorder="1" applyAlignment="1">
      <alignment horizontal="center"/>
    </xf>
    <xf numFmtId="0" fontId="3" fillId="8" borderId="33" xfId="0" applyFont="1" applyFill="1" applyBorder="1" applyAlignment="1">
      <alignment horizontal="center"/>
    </xf>
    <xf numFmtId="0" fontId="12" fillId="6" borderId="118" xfId="0" applyFont="1" applyFill="1" applyBorder="1" applyAlignment="1">
      <alignment horizontal="left" vertical="center"/>
    </xf>
    <xf numFmtId="0" fontId="15" fillId="6" borderId="11" xfId="0" applyFont="1" applyFill="1" applyBorder="1" applyAlignment="1">
      <alignment horizontal="center" vertical="center" wrapText="1"/>
    </xf>
    <xf numFmtId="0" fontId="16" fillId="6" borderId="57" xfId="0" applyFont="1" applyFill="1" applyBorder="1" applyAlignment="1">
      <alignment horizontal="center" vertical="center" wrapText="1"/>
    </xf>
    <xf numFmtId="0" fontId="30" fillId="6" borderId="58" xfId="0" applyFont="1" applyFill="1" applyBorder="1" applyAlignment="1">
      <alignment horizontal="center" vertical="center" wrapText="1"/>
    </xf>
    <xf numFmtId="0" fontId="28" fillId="6" borderId="15" xfId="0" applyFont="1" applyFill="1" applyBorder="1" applyAlignment="1">
      <alignment horizontal="center" vertical="center" wrapText="1"/>
    </xf>
    <xf numFmtId="0" fontId="28" fillId="6" borderId="59" xfId="0" applyFont="1" applyFill="1" applyBorder="1" applyAlignment="1">
      <alignment horizontal="center" vertical="center" wrapText="1"/>
    </xf>
    <xf numFmtId="0" fontId="30" fillId="6" borderId="59" xfId="0" applyFont="1" applyFill="1" applyBorder="1" applyAlignment="1">
      <alignment horizontal="center" vertical="center" wrapText="1"/>
    </xf>
    <xf numFmtId="0" fontId="0" fillId="8" borderId="61" xfId="0" applyFill="1" applyBorder="1" applyAlignment="1">
      <alignment horizontal="center"/>
    </xf>
    <xf numFmtId="0" fontId="26" fillId="0" borderId="21" xfId="0" applyFont="1" applyBorder="1" applyAlignment="1">
      <alignment horizontal="center" vertical="center"/>
    </xf>
    <xf numFmtId="0" fontId="0" fillId="0" borderId="20" xfId="0" applyFill="1" applyBorder="1" applyAlignment="1">
      <alignment horizontal="center" vertical="center"/>
    </xf>
    <xf numFmtId="0" fontId="26" fillId="0" borderId="21" xfId="0" applyFont="1" applyBorder="1" applyAlignment="1">
      <alignment horizontal="center"/>
    </xf>
    <xf numFmtId="0" fontId="0" fillId="0" borderId="20" xfId="0" applyBorder="1" applyAlignment="1">
      <alignment horizontal="center"/>
    </xf>
    <xf numFmtId="0" fontId="3" fillId="8" borderId="29" xfId="0" applyFont="1" applyFill="1" applyBorder="1" applyAlignment="1">
      <alignment horizontal="center" vertical="center"/>
    </xf>
    <xf numFmtId="0" fontId="14" fillId="8" borderId="30" xfId="0" applyFont="1" applyFill="1" applyBorder="1" applyAlignment="1">
      <alignment horizontal="center" vertical="center"/>
    </xf>
    <xf numFmtId="0" fontId="14" fillId="8" borderId="32" xfId="0" applyFont="1" applyFill="1" applyBorder="1" applyAlignment="1">
      <alignment horizontal="center" vertical="center"/>
    </xf>
    <xf numFmtId="0" fontId="3" fillId="8" borderId="28" xfId="0" applyFont="1" applyFill="1" applyBorder="1" applyAlignment="1">
      <alignment horizontal="center" vertical="center"/>
    </xf>
    <xf numFmtId="0" fontId="3" fillId="8" borderId="33" xfId="0" applyFont="1" applyFill="1" applyBorder="1" applyAlignment="1">
      <alignment horizontal="center" vertical="center"/>
    </xf>
    <xf numFmtId="0" fontId="12" fillId="9" borderId="118" xfId="0" applyFont="1" applyFill="1" applyBorder="1" applyAlignment="1">
      <alignment horizontal="center" vertical="center" wrapText="1"/>
    </xf>
    <xf numFmtId="0" fontId="36" fillId="9" borderId="119" xfId="0" applyFont="1" applyFill="1" applyBorder="1" applyAlignment="1">
      <alignment horizontal="center" vertical="center" wrapText="1"/>
    </xf>
    <xf numFmtId="0" fontId="15" fillId="9" borderId="11" xfId="0" applyFont="1" applyFill="1" applyBorder="1" applyAlignment="1">
      <alignment horizontal="center" vertical="center" wrapText="1"/>
    </xf>
    <xf numFmtId="0" fontId="16" fillId="9" borderId="57" xfId="0" applyFont="1" applyFill="1" applyBorder="1" applyAlignment="1">
      <alignment horizontal="center" vertical="center" wrapText="1"/>
    </xf>
    <xf numFmtId="0" fontId="15" fillId="9" borderId="62" xfId="0" applyFont="1" applyFill="1" applyBorder="1" applyAlignment="1">
      <alignment horizontal="center" vertical="center" wrapText="1"/>
    </xf>
    <xf numFmtId="0" fontId="15" fillId="9" borderId="15"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3" fillId="8" borderId="27" xfId="0" applyFont="1" applyFill="1" applyBorder="1" applyAlignment="1">
      <alignment horizontal="center"/>
    </xf>
    <xf numFmtId="0" fontId="14" fillId="8" borderId="63" xfId="0" applyFont="1" applyFill="1" applyBorder="1" applyAlignment="1">
      <alignment horizontal="center" vertical="center"/>
    </xf>
    <xf numFmtId="0" fontId="3" fillId="8" borderId="32" xfId="0" applyFont="1" applyFill="1" applyBorder="1" applyAlignment="1">
      <alignment horizontal="center" vertical="center"/>
    </xf>
    <xf numFmtId="0" fontId="65" fillId="0" borderId="56" xfId="0" applyFont="1" applyBorder="1" applyAlignment="1">
      <alignment horizontal="center"/>
    </xf>
    <xf numFmtId="0" fontId="65" fillId="0" borderId="24" xfId="0" applyFont="1" applyBorder="1" applyAlignment="1">
      <alignment horizontal="center"/>
    </xf>
    <xf numFmtId="0" fontId="0" fillId="0" borderId="56" xfId="0" applyFont="1" applyBorder="1" applyAlignment="1">
      <alignment horizontal="center"/>
    </xf>
    <xf numFmtId="0" fontId="0" fillId="0" borderId="21" xfId="0" applyFont="1" applyBorder="1" applyAlignment="1">
      <alignment horizontal="center"/>
    </xf>
    <xf numFmtId="0" fontId="0" fillId="0" borderId="24" xfId="0" applyFont="1" applyBorder="1" applyAlignment="1">
      <alignment horizontal="center"/>
    </xf>
    <xf numFmtId="0" fontId="33" fillId="4" borderId="19" xfId="0" applyFont="1" applyFill="1" applyBorder="1" applyAlignment="1">
      <alignment horizontal="center" vertical="center"/>
    </xf>
    <xf numFmtId="0" fontId="33" fillId="0" borderId="19" xfId="0" applyFont="1" applyBorder="1" applyAlignment="1">
      <alignment horizontal="center" vertical="center"/>
    </xf>
    <xf numFmtId="0" fontId="34" fillId="8" borderId="27" xfId="0" applyFont="1" applyFill="1" applyBorder="1" applyAlignment="1">
      <alignment horizontal="center" vertical="center"/>
    </xf>
    <xf numFmtId="0" fontId="0" fillId="8" borderId="64" xfId="0" applyFont="1" applyFill="1" applyBorder="1" applyAlignment="1">
      <alignment horizontal="center" vertical="center"/>
    </xf>
    <xf numFmtId="0" fontId="0" fillId="0" borderId="0" xfId="0" applyFill="1" applyAlignment="1">
      <alignment horizontal="center"/>
    </xf>
    <xf numFmtId="0" fontId="3" fillId="8" borderId="65" xfId="0" applyFont="1" applyFill="1" applyBorder="1" applyAlignment="1">
      <alignment horizontal="center" vertical="center"/>
    </xf>
    <xf numFmtId="0" fontId="0" fillId="8" borderId="19" xfId="0" applyFill="1" applyBorder="1" applyAlignment="1">
      <alignment horizontal="center"/>
    </xf>
    <xf numFmtId="0" fontId="65" fillId="0" borderId="20" xfId="0" applyFont="1" applyBorder="1" applyAlignment="1">
      <alignment horizontal="center"/>
    </xf>
    <xf numFmtId="0" fontId="65" fillId="8" borderId="19" xfId="0" applyFont="1" applyFill="1" applyBorder="1" applyAlignment="1">
      <alignment horizontal="center" vertical="center"/>
    </xf>
    <xf numFmtId="0" fontId="65" fillId="0" borderId="61" xfId="0" applyFont="1" applyFill="1" applyBorder="1" applyAlignment="1">
      <alignment horizontal="center" vertical="center"/>
    </xf>
    <xf numFmtId="0" fontId="65" fillId="0" borderId="56" xfId="0" applyFont="1" applyBorder="1" applyAlignment="1">
      <alignment horizontal="center" vertical="center"/>
    </xf>
    <xf numFmtId="0" fontId="65" fillId="0" borderId="24" xfId="0" applyFont="1" applyBorder="1" applyAlignment="1">
      <alignment horizontal="center" vertical="center"/>
    </xf>
    <xf numFmtId="0" fontId="0" fillId="0" borderId="61" xfId="0" applyFill="1" applyBorder="1" applyAlignment="1">
      <alignment horizontal="center" vertical="center"/>
    </xf>
    <xf numFmtId="0" fontId="0" fillId="0" borderId="61" xfId="0" applyFill="1" applyBorder="1" applyAlignment="1">
      <alignment horizontal="center"/>
    </xf>
    <xf numFmtId="0" fontId="3" fillId="8" borderId="27" xfId="0" applyFont="1" applyFill="1" applyBorder="1" applyAlignment="1">
      <alignment horizontal="center" vertical="center"/>
    </xf>
    <xf numFmtId="0" fontId="3" fillId="8" borderId="63" xfId="0" applyFont="1" applyFill="1" applyBorder="1" applyAlignment="1">
      <alignment horizontal="center" vertical="center"/>
    </xf>
    <xf numFmtId="0" fontId="26" fillId="4" borderId="50" xfId="0" applyFont="1" applyFill="1" applyBorder="1" applyAlignment="1">
      <alignment horizontal="center"/>
    </xf>
    <xf numFmtId="0" fontId="65" fillId="8" borderId="73" xfId="0" applyFont="1" applyFill="1" applyBorder="1" applyAlignment="1">
      <alignment horizontal="center"/>
    </xf>
    <xf numFmtId="0" fontId="67" fillId="0" borderId="19" xfId="0" applyFont="1" applyBorder="1" applyAlignment="1">
      <alignment horizontal="center"/>
    </xf>
    <xf numFmtId="0" fontId="55" fillId="0" borderId="20" xfId="0" applyFont="1" applyBorder="1" applyAlignment="1">
      <alignment horizontal="center"/>
    </xf>
    <xf numFmtId="0" fontId="55" fillId="0" borderId="21" xfId="0" applyFont="1" applyBorder="1" applyAlignment="1">
      <alignment horizontal="center"/>
    </xf>
    <xf numFmtId="0" fontId="55" fillId="8" borderId="73" xfId="0" applyFont="1" applyFill="1" applyBorder="1" applyAlignment="1">
      <alignment horizontal="center"/>
    </xf>
    <xf numFmtId="0" fontId="55" fillId="0" borderId="56" xfId="0" applyFont="1" applyBorder="1" applyAlignment="1">
      <alignment horizontal="center"/>
    </xf>
    <xf numFmtId="0" fontId="55" fillId="0" borderId="24" xfId="0" applyFont="1" applyBorder="1" applyAlignment="1">
      <alignment horizontal="center"/>
    </xf>
    <xf numFmtId="3" fontId="55" fillId="0" borderId="20" xfId="0" applyNumberFormat="1" applyFont="1" applyBorder="1" applyAlignment="1">
      <alignment horizontal="center"/>
    </xf>
    <xf numFmtId="3" fontId="55" fillId="0" borderId="21" xfId="0" applyNumberFormat="1" applyFont="1" applyBorder="1" applyAlignment="1">
      <alignment horizontal="center"/>
    </xf>
    <xf numFmtId="0" fontId="65" fillId="0" borderId="21" xfId="0" applyFont="1" applyBorder="1" applyAlignment="1">
      <alignment horizontal="center" wrapText="1"/>
    </xf>
    <xf numFmtId="0" fontId="13" fillId="8" borderId="27" xfId="0" applyFont="1" applyFill="1" applyBorder="1" applyAlignment="1">
      <alignment horizontal="center" vertical="center"/>
    </xf>
    <xf numFmtId="0" fontId="102" fillId="8" borderId="65" xfId="0" applyFont="1" applyFill="1" applyBorder="1" applyAlignment="1">
      <alignment horizontal="center" vertical="center"/>
    </xf>
    <xf numFmtId="0" fontId="12" fillId="14" borderId="118" xfId="0" applyFont="1" applyFill="1" applyBorder="1" applyAlignment="1">
      <alignment vertical="center" wrapText="1"/>
    </xf>
    <xf numFmtId="0" fontId="12" fillId="14" borderId="15" xfId="0" applyFont="1" applyFill="1" applyBorder="1" applyAlignment="1">
      <alignment horizontal="center" vertical="center" wrapText="1"/>
    </xf>
    <xf numFmtId="0" fontId="15" fillId="14" borderId="11" xfId="0" applyFont="1" applyFill="1" applyBorder="1" applyAlignment="1">
      <alignment horizontal="center" vertical="center" wrapText="1"/>
    </xf>
    <xf numFmtId="0" fontId="26" fillId="4" borderId="19" xfId="0" applyFont="1" applyFill="1" applyBorder="1" applyAlignment="1">
      <alignment horizontal="center" vertical="center"/>
    </xf>
    <xf numFmtId="0" fontId="26" fillId="0" borderId="19" xfId="0" applyFont="1" applyBorder="1" applyAlignment="1">
      <alignment horizontal="center" vertical="center"/>
    </xf>
    <xf numFmtId="0" fontId="65" fillId="0" borderId="19" xfId="0" applyFont="1" applyBorder="1" applyAlignment="1">
      <alignment horizontal="center" vertical="center"/>
    </xf>
    <xf numFmtId="0" fontId="65" fillId="0" borderId="90" xfId="0" applyFont="1" applyBorder="1" applyAlignment="1">
      <alignment horizontal="center" vertical="center"/>
    </xf>
    <xf numFmtId="0" fontId="65" fillId="0" borderId="91" xfId="0" applyFont="1" applyBorder="1" applyAlignment="1">
      <alignment horizontal="center" vertical="center"/>
    </xf>
    <xf numFmtId="0" fontId="65" fillId="0" borderId="92" xfId="0" applyFont="1"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24" xfId="0" applyBorder="1" applyAlignment="1">
      <alignment horizontal="center" vertical="center"/>
    </xf>
    <xf numFmtId="0" fontId="3" fillId="8" borderId="28" xfId="0" applyFont="1" applyFill="1" applyBorder="1" applyAlignment="1">
      <alignment horizontal="center"/>
    </xf>
    <xf numFmtId="0" fontId="24" fillId="11" borderId="15"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5" fillId="11" borderId="15" xfId="0" applyFont="1" applyFill="1" applyBorder="1" applyAlignment="1">
      <alignment horizontal="center" vertical="center" wrapText="1"/>
    </xf>
    <xf numFmtId="0" fontId="15" fillId="11" borderId="16" xfId="0" applyFont="1" applyFill="1" applyBorder="1" applyAlignment="1">
      <alignment horizontal="center" vertical="center" wrapText="1"/>
    </xf>
    <xf numFmtId="165" fontId="103" fillId="0" borderId="21" xfId="0" applyNumberFormat="1" applyFont="1" applyFill="1" applyBorder="1" applyAlignment="1">
      <alignment horizontal="center" vertical="center"/>
    </xf>
    <xf numFmtId="165" fontId="103" fillId="7" borderId="21" xfId="0" applyNumberFormat="1" applyFont="1" applyFill="1" applyBorder="1" applyAlignment="1">
      <alignment horizontal="center" vertical="center"/>
    </xf>
    <xf numFmtId="165" fontId="104" fillId="0" borderId="21" xfId="0" applyNumberFormat="1" applyFont="1" applyFill="1" applyBorder="1" applyAlignment="1">
      <alignment horizontal="center" vertical="center"/>
    </xf>
    <xf numFmtId="165" fontId="26" fillId="0" borderId="21" xfId="2" applyNumberFormat="1" applyFont="1" applyFill="1" applyBorder="1"/>
    <xf numFmtId="165" fontId="104" fillId="0" borderId="21" xfId="0" applyNumberFormat="1" applyFont="1" applyBorder="1"/>
    <xf numFmtId="165" fontId="26" fillId="0" borderId="21" xfId="2" applyNumberFormat="1" applyFont="1" applyBorder="1"/>
    <xf numFmtId="165" fontId="26" fillId="7" borderId="21" xfId="0" applyNumberFormat="1" applyFont="1" applyFill="1" applyBorder="1" applyAlignment="1">
      <alignment horizontal="center" vertical="center"/>
    </xf>
    <xf numFmtId="165" fontId="104" fillId="0" borderId="21" xfId="0" applyNumberFormat="1" applyFont="1" applyBorder="1" applyAlignment="1">
      <alignment vertical="center"/>
    </xf>
    <xf numFmtId="165" fontId="13" fillId="5" borderId="29" xfId="0" applyNumberFormat="1" applyFont="1" applyFill="1" applyBorder="1" applyAlignment="1">
      <alignment horizontal="center" vertical="center"/>
    </xf>
    <xf numFmtId="165" fontId="103" fillId="5" borderId="29" xfId="0" applyNumberFormat="1" applyFont="1" applyFill="1" applyBorder="1" applyAlignment="1">
      <alignment horizontal="center" vertical="center"/>
    </xf>
    <xf numFmtId="0" fontId="13" fillId="5" borderId="29" xfId="0" applyFont="1" applyFill="1" applyBorder="1" applyAlignment="1">
      <alignment horizontal="center" vertical="center"/>
    </xf>
    <xf numFmtId="2" fontId="0" fillId="0" borderId="0" xfId="0" applyNumberFormat="1"/>
    <xf numFmtId="165" fontId="0" fillId="0" borderId="0" xfId="0" applyNumberFormat="1"/>
    <xf numFmtId="0" fontId="51" fillId="0" borderId="0" xfId="0" applyFont="1" applyAlignment="1"/>
    <xf numFmtId="0" fontId="52" fillId="0" borderId="0" xfId="0" applyFont="1" applyAlignment="1"/>
    <xf numFmtId="0" fontId="105" fillId="3" borderId="132" xfId="0" applyFont="1" applyFill="1" applyBorder="1" applyAlignment="1">
      <alignment wrapText="1"/>
    </xf>
    <xf numFmtId="0" fontId="68" fillId="3" borderId="133" xfId="0" applyFont="1" applyFill="1" applyBorder="1" applyAlignment="1">
      <alignment horizontal="centerContinuous" wrapText="1"/>
    </xf>
    <xf numFmtId="0" fontId="68" fillId="3" borderId="133" xfId="0" applyFont="1" applyFill="1" applyBorder="1" applyAlignment="1">
      <alignment horizontal="center" vertical="center"/>
    </xf>
    <xf numFmtId="0" fontId="55" fillId="3" borderId="133" xfId="0" applyFont="1" applyFill="1" applyBorder="1" applyAlignment="1">
      <alignment horizontal="centerContinuous" wrapText="1"/>
    </xf>
    <xf numFmtId="0" fontId="105" fillId="3" borderId="134" xfId="0" applyFont="1" applyFill="1" applyBorder="1" applyAlignment="1">
      <alignment wrapText="1"/>
    </xf>
    <xf numFmtId="0" fontId="106" fillId="3" borderId="133" xfId="0" applyFont="1" applyFill="1" applyBorder="1" applyAlignment="1">
      <alignment horizontal="center" wrapText="1"/>
    </xf>
    <xf numFmtId="0" fontId="107" fillId="3" borderId="135" xfId="0" applyFont="1" applyFill="1" applyBorder="1" applyAlignment="1">
      <alignment horizontal="center" wrapText="1"/>
    </xf>
    <xf numFmtId="0" fontId="108" fillId="3" borderId="133" xfId="0" applyFont="1" applyFill="1" applyBorder="1" applyAlignment="1">
      <alignment wrapText="1"/>
    </xf>
    <xf numFmtId="0" fontId="106" fillId="3" borderId="133" xfId="0" applyFont="1" applyFill="1" applyBorder="1" applyAlignment="1">
      <alignment wrapText="1"/>
    </xf>
    <xf numFmtId="0" fontId="55" fillId="4" borderId="133" xfId="0" applyFont="1" applyFill="1" applyBorder="1"/>
    <xf numFmtId="0" fontId="55" fillId="5" borderId="133" xfId="0" applyFont="1" applyFill="1" applyBorder="1"/>
    <xf numFmtId="0" fontId="55" fillId="0" borderId="133" xfId="0" applyFont="1" applyBorder="1"/>
    <xf numFmtId="0" fontId="55" fillId="7" borderId="133" xfId="0" applyFont="1" applyFill="1" applyBorder="1"/>
    <xf numFmtId="0" fontId="55" fillId="2" borderId="133" xfId="0" applyFont="1" applyFill="1" applyBorder="1"/>
    <xf numFmtId="0" fontId="106" fillId="7" borderId="101" xfId="0" applyFont="1" applyFill="1" applyBorder="1" applyAlignment="1">
      <alignment vertical="center" wrapText="1"/>
    </xf>
    <xf numFmtId="0" fontId="55" fillId="7" borderId="138" xfId="0" applyFont="1" applyFill="1" applyBorder="1" applyAlignment="1">
      <alignment vertical="center" wrapText="1"/>
    </xf>
    <xf numFmtId="0" fontId="109" fillId="0" borderId="133" xfId="0" applyFont="1" applyBorder="1"/>
    <xf numFmtId="0" fontId="109" fillId="2" borderId="133" xfId="0" applyFont="1" applyFill="1" applyBorder="1"/>
    <xf numFmtId="0" fontId="55" fillId="0" borderId="133" xfId="0" applyFont="1" applyFill="1" applyBorder="1"/>
    <xf numFmtId="0" fontId="106" fillId="7" borderId="139" xfId="0" applyFont="1" applyFill="1" applyBorder="1" applyAlignment="1">
      <alignment vertical="center" wrapText="1"/>
    </xf>
    <xf numFmtId="0" fontId="55" fillId="7" borderId="140" xfId="0" applyFont="1" applyFill="1" applyBorder="1" applyAlignment="1">
      <alignment vertical="center" wrapText="1"/>
    </xf>
    <xf numFmtId="0" fontId="68" fillId="5" borderId="133" xfId="0" applyFont="1" applyFill="1" applyBorder="1" applyAlignment="1">
      <alignment horizontal="right"/>
    </xf>
    <xf numFmtId="0" fontId="110" fillId="7" borderId="101" xfId="0" applyFont="1" applyFill="1" applyBorder="1" applyAlignment="1">
      <alignment horizontal="left" vertical="top" wrapText="1"/>
    </xf>
    <xf numFmtId="0" fontId="107" fillId="3" borderId="133" xfId="0" applyFont="1" applyFill="1" applyBorder="1" applyAlignment="1">
      <alignment horizontal="center" wrapText="1"/>
    </xf>
    <xf numFmtId="3" fontId="55" fillId="0" borderId="133" xfId="0" applyNumberFormat="1" applyFont="1" applyBorder="1"/>
    <xf numFmtId="3" fontId="55" fillId="5" borderId="133" xfId="0" applyNumberFormat="1" applyFont="1" applyFill="1" applyBorder="1"/>
    <xf numFmtId="3" fontId="55" fillId="7" borderId="133" xfId="0" applyNumberFormat="1" applyFont="1" applyFill="1" applyBorder="1"/>
    <xf numFmtId="3" fontId="109" fillId="0" borderId="133" xfId="0" applyNumberFormat="1" applyFont="1" applyBorder="1"/>
    <xf numFmtId="0" fontId="55" fillId="0" borderId="0" xfId="0" applyFont="1" applyAlignment="1">
      <alignment vertical="center" wrapText="1"/>
    </xf>
    <xf numFmtId="0" fontId="68" fillId="0" borderId="0" xfId="0" applyFont="1" applyAlignment="1">
      <alignment horizontal="right"/>
    </xf>
    <xf numFmtId="0" fontId="55" fillId="0" borderId="0" xfId="0" applyFont="1"/>
    <xf numFmtId="0" fontId="111" fillId="6" borderId="0" xfId="0" applyFont="1" applyFill="1"/>
    <xf numFmtId="0" fontId="55" fillId="6" borderId="0" xfId="0" applyFont="1" applyFill="1"/>
    <xf numFmtId="0" fontId="55" fillId="0" borderId="0" xfId="0" applyFont="1" applyFill="1" applyBorder="1"/>
    <xf numFmtId="0" fontId="105" fillId="6" borderId="133" xfId="0" applyFont="1" applyFill="1" applyBorder="1"/>
    <xf numFmtId="0" fontId="105" fillId="6" borderId="133" xfId="0" applyFont="1" applyFill="1" applyBorder="1" applyAlignment="1">
      <alignment horizontal="center" wrapText="1"/>
    </xf>
    <xf numFmtId="0" fontId="105" fillId="6" borderId="133" xfId="0" applyFont="1" applyFill="1" applyBorder="1" applyAlignment="1">
      <alignment horizontal="center"/>
    </xf>
    <xf numFmtId="0" fontId="106" fillId="6" borderId="133" xfId="0" applyFont="1" applyFill="1" applyBorder="1" applyAlignment="1">
      <alignment horizontal="center" wrapText="1"/>
    </xf>
    <xf numFmtId="0" fontId="67" fillId="4" borderId="133" xfId="0" applyFont="1" applyFill="1" applyBorder="1"/>
    <xf numFmtId="0" fontId="67" fillId="0" borderId="133" xfId="0" applyFont="1" applyBorder="1"/>
    <xf numFmtId="0" fontId="67" fillId="7" borderId="133" xfId="0" applyFont="1" applyFill="1" applyBorder="1"/>
    <xf numFmtId="0" fontId="106" fillId="0" borderId="101" xfId="0" applyFont="1" applyBorder="1" applyAlignment="1">
      <alignment vertical="top" wrapText="1"/>
    </xf>
    <xf numFmtId="0" fontId="55" fillId="0" borderId="138" xfId="0" applyFont="1" applyBorder="1" applyAlignment="1">
      <alignment vertical="top" wrapText="1"/>
    </xf>
    <xf numFmtId="0" fontId="106" fillId="0" borderId="139" xfId="0" applyFont="1" applyBorder="1" applyAlignment="1">
      <alignment vertical="top" wrapText="1"/>
    </xf>
    <xf numFmtId="0" fontId="55" fillId="0" borderId="140" xfId="0" applyFont="1" applyBorder="1" applyAlignment="1">
      <alignment vertical="top" wrapText="1"/>
    </xf>
    <xf numFmtId="0" fontId="105" fillId="6" borderId="132" xfId="0" applyFont="1" applyFill="1" applyBorder="1"/>
    <xf numFmtId="0" fontId="105" fillId="6" borderId="132" xfId="0" applyFont="1" applyFill="1" applyBorder="1" applyAlignment="1">
      <alignment horizontal="center" wrapText="1"/>
    </xf>
    <xf numFmtId="0" fontId="106" fillId="4" borderId="141" xfId="0" applyFont="1" applyFill="1" applyBorder="1"/>
    <xf numFmtId="0" fontId="67" fillId="0" borderId="141" xfId="0" applyFont="1" applyBorder="1"/>
    <xf numFmtId="0" fontId="68" fillId="5" borderId="141" xfId="0" applyFont="1" applyFill="1" applyBorder="1" applyAlignment="1">
      <alignment horizontal="right"/>
    </xf>
    <xf numFmtId="0" fontId="113" fillId="6" borderId="133" xfId="0" applyFont="1" applyFill="1" applyBorder="1" applyAlignment="1">
      <alignment horizontal="centerContinuous" wrapText="1"/>
    </xf>
    <xf numFmtId="0" fontId="114" fillId="6" borderId="133" xfId="0" applyFont="1" applyFill="1" applyBorder="1" applyAlignment="1">
      <alignment horizontal="centerContinuous" wrapText="1"/>
    </xf>
    <xf numFmtId="0" fontId="115" fillId="6" borderId="133" xfId="0" applyFont="1" applyFill="1" applyBorder="1" applyAlignment="1">
      <alignment wrapText="1"/>
    </xf>
    <xf numFmtId="0" fontId="114" fillId="6" borderId="133" xfId="0" applyFont="1" applyFill="1" applyBorder="1" applyAlignment="1">
      <alignment wrapText="1"/>
    </xf>
    <xf numFmtId="0" fontId="113" fillId="0" borderId="101" xfId="0" applyFont="1" applyBorder="1" applyAlignment="1">
      <alignment horizontal="left" vertical="center" wrapText="1"/>
    </xf>
    <xf numFmtId="0" fontId="55" fillId="0" borderId="0" xfId="0" applyFont="1" applyBorder="1" applyAlignment="1">
      <alignment horizontal="left"/>
    </xf>
    <xf numFmtId="0" fontId="109" fillId="8" borderId="133" xfId="0" applyFont="1" applyFill="1" applyBorder="1" applyAlignment="1">
      <alignment horizontal="right"/>
    </xf>
    <xf numFmtId="0" fontId="55" fillId="8" borderId="133" xfId="0" applyFont="1" applyFill="1" applyBorder="1" applyAlignment="1">
      <alignment horizontal="right"/>
    </xf>
    <xf numFmtId="0" fontId="55" fillId="8" borderId="133" xfId="0" applyFont="1" applyFill="1" applyBorder="1"/>
    <xf numFmtId="0" fontId="106" fillId="6" borderId="133" xfId="0" applyFont="1" applyFill="1" applyBorder="1" applyAlignment="1">
      <alignment wrapText="1"/>
    </xf>
    <xf numFmtId="0" fontId="107" fillId="6" borderId="133" xfId="0" applyFont="1" applyFill="1" applyBorder="1" applyAlignment="1">
      <alignment wrapText="1"/>
    </xf>
    <xf numFmtId="0" fontId="68" fillId="0" borderId="133" xfId="0" applyFont="1" applyBorder="1"/>
    <xf numFmtId="0" fontId="68" fillId="8" borderId="133" xfId="0" applyFont="1" applyFill="1" applyBorder="1" applyAlignment="1">
      <alignment horizontal="right"/>
    </xf>
    <xf numFmtId="0" fontId="12" fillId="9" borderId="133" xfId="0" applyFont="1" applyFill="1" applyBorder="1" applyAlignment="1">
      <alignment wrapText="1"/>
    </xf>
    <xf numFmtId="0" fontId="36" fillId="9" borderId="133" xfId="0" applyFont="1" applyFill="1" applyBorder="1" applyAlignment="1">
      <alignment horizontal="center" wrapText="1"/>
    </xf>
    <xf numFmtId="0" fontId="24" fillId="9" borderId="133" xfId="0" applyFont="1" applyFill="1" applyBorder="1" applyAlignment="1">
      <alignment horizontal="center" wrapText="1"/>
    </xf>
    <xf numFmtId="0" fontId="16" fillId="9" borderId="133" xfId="0" applyFont="1" applyFill="1" applyBorder="1" applyAlignment="1">
      <alignment wrapText="1"/>
    </xf>
    <xf numFmtId="0" fontId="15" fillId="9" borderId="133" xfId="0" applyFont="1" applyFill="1" applyBorder="1" applyAlignment="1">
      <alignment wrapText="1"/>
    </xf>
    <xf numFmtId="0" fontId="26" fillId="4" borderId="133" xfId="0" applyFont="1" applyFill="1" applyBorder="1"/>
    <xf numFmtId="0" fontId="0" fillId="4" borderId="133" xfId="0" applyFill="1" applyBorder="1"/>
    <xf numFmtId="0" fontId="26" fillId="0" borderId="133" xfId="0" applyFont="1" applyBorder="1"/>
    <xf numFmtId="0" fontId="0" fillId="0" borderId="133" xfId="0" applyBorder="1"/>
    <xf numFmtId="0" fontId="2" fillId="0" borderId="133" xfId="0" applyFont="1" applyBorder="1"/>
    <xf numFmtId="0" fontId="65" fillId="0" borderId="133" xfId="0" applyFont="1" applyBorder="1"/>
    <xf numFmtId="0" fontId="13" fillId="8" borderId="133" xfId="0" applyFont="1" applyFill="1" applyBorder="1" applyAlignment="1">
      <alignment horizontal="right"/>
    </xf>
    <xf numFmtId="0" fontId="13" fillId="8" borderId="133" xfId="0" applyFont="1" applyFill="1" applyBorder="1"/>
    <xf numFmtId="0" fontId="0" fillId="8" borderId="133" xfId="0" applyFill="1" applyBorder="1"/>
    <xf numFmtId="0" fontId="113" fillId="11" borderId="133" xfId="0" applyFont="1" applyFill="1" applyBorder="1" applyAlignment="1">
      <alignment horizontal="centerContinuous" wrapText="1"/>
    </xf>
    <xf numFmtId="0" fontId="114" fillId="11" borderId="133" xfId="0" applyFont="1" applyFill="1" applyBorder="1" applyAlignment="1">
      <alignment wrapText="1"/>
    </xf>
    <xf numFmtId="0" fontId="115" fillId="11" borderId="133" xfId="0" applyFont="1" applyFill="1" applyBorder="1" applyAlignment="1">
      <alignment wrapText="1"/>
    </xf>
    <xf numFmtId="0" fontId="120" fillId="11" borderId="133" xfId="0" applyFont="1" applyFill="1" applyBorder="1" applyAlignment="1">
      <alignment wrapText="1"/>
    </xf>
    <xf numFmtId="0" fontId="113" fillId="0" borderId="132" xfId="0" applyFont="1" applyBorder="1" applyAlignment="1">
      <alignment vertical="center" wrapText="1"/>
    </xf>
    <xf numFmtId="0" fontId="114" fillId="0" borderId="134" xfId="0" applyFont="1" applyBorder="1" applyAlignment="1">
      <alignment vertical="center" wrapText="1"/>
    </xf>
    <xf numFmtId="0" fontId="114" fillId="7" borderId="134" xfId="0" applyFont="1" applyFill="1" applyBorder="1" applyAlignment="1">
      <alignment vertical="center" wrapText="1"/>
    </xf>
    <xf numFmtId="0" fontId="114" fillId="7" borderId="142" xfId="0" applyFont="1" applyFill="1" applyBorder="1" applyAlignment="1"/>
    <xf numFmtId="0" fontId="114" fillId="0" borderId="0" xfId="0" applyFont="1" applyBorder="1" applyAlignment="1">
      <alignment horizontal="left" vertical="center" wrapText="1"/>
    </xf>
    <xf numFmtId="0" fontId="31" fillId="0" borderId="0" xfId="0" applyFont="1" applyBorder="1" applyAlignment="1">
      <alignment horizontal="left" vertical="center" wrapText="1"/>
    </xf>
    <xf numFmtId="0" fontId="114" fillId="11" borderId="133" xfId="0" applyFont="1" applyFill="1" applyBorder="1" applyAlignment="1">
      <alignment horizontal="centerContinuous" wrapText="1"/>
    </xf>
    <xf numFmtId="0" fontId="106" fillId="11" borderId="133" xfId="0" applyFont="1" applyFill="1" applyBorder="1" applyAlignment="1">
      <alignment wrapText="1"/>
    </xf>
    <xf numFmtId="0" fontId="113" fillId="11" borderId="133" xfId="0" applyFont="1" applyFill="1" applyBorder="1" applyAlignment="1">
      <alignment wrapText="1"/>
    </xf>
    <xf numFmtId="0" fontId="109" fillId="8" borderId="133" xfId="0" applyFont="1" applyFill="1" applyBorder="1"/>
    <xf numFmtId="0" fontId="114" fillId="12" borderId="133" xfId="0" applyFont="1" applyFill="1" applyBorder="1" applyAlignment="1">
      <alignment horizontal="centerContinuous" wrapText="1"/>
    </xf>
    <xf numFmtId="0" fontId="113" fillId="12" borderId="133" xfId="0" applyFont="1" applyFill="1" applyBorder="1" applyAlignment="1">
      <alignment wrapText="1"/>
    </xf>
    <xf numFmtId="0" fontId="115" fillId="12" borderId="133" xfId="0" applyFont="1" applyFill="1" applyBorder="1" applyAlignment="1">
      <alignment wrapText="1"/>
    </xf>
    <xf numFmtId="0" fontId="114" fillId="12" borderId="133" xfId="0" applyFont="1" applyFill="1" applyBorder="1" applyAlignment="1">
      <alignment wrapText="1"/>
    </xf>
    <xf numFmtId="0" fontId="120" fillId="12" borderId="133" xfId="0" applyFont="1" applyFill="1" applyBorder="1" applyAlignment="1">
      <alignment wrapText="1"/>
    </xf>
    <xf numFmtId="0" fontId="122" fillId="12" borderId="133" xfId="0" applyFont="1" applyFill="1" applyBorder="1" applyAlignment="1">
      <alignment horizontal="left" wrapText="1"/>
    </xf>
    <xf numFmtId="0" fontId="84" fillId="12" borderId="133" xfId="0" applyFont="1" applyFill="1" applyBorder="1" applyAlignment="1">
      <alignment horizontal="center" vertical="center" wrapText="1"/>
    </xf>
    <xf numFmtId="0" fontId="102" fillId="12" borderId="133" xfId="0" applyFont="1" applyFill="1" applyBorder="1" applyAlignment="1">
      <alignment horizontal="right"/>
    </xf>
    <xf numFmtId="0" fontId="65" fillId="12" borderId="133" xfId="0" applyFont="1" applyFill="1" applyBorder="1" applyAlignment="1">
      <alignment wrapText="1"/>
    </xf>
    <xf numFmtId="0" fontId="102" fillId="12" borderId="133" xfId="0" applyFont="1" applyFill="1" applyBorder="1" applyAlignment="1">
      <alignment wrapText="1"/>
    </xf>
    <xf numFmtId="0" fontId="102" fillId="4" borderId="133" xfId="0" applyFont="1" applyFill="1" applyBorder="1" applyAlignment="1">
      <alignment horizontal="right"/>
    </xf>
    <xf numFmtId="0" fontId="65" fillId="4" borderId="133" xfId="0" applyFont="1" applyFill="1" applyBorder="1"/>
    <xf numFmtId="0" fontId="102" fillId="4" borderId="133" xfId="0" applyFont="1" applyFill="1" applyBorder="1"/>
    <xf numFmtId="0" fontId="102" fillId="7" borderId="133" xfId="0" applyFont="1" applyFill="1" applyBorder="1" applyAlignment="1">
      <alignment horizontal="right"/>
    </xf>
    <xf numFmtId="0" fontId="65" fillId="7" borderId="133" xfId="0" applyFont="1" applyFill="1" applyBorder="1"/>
    <xf numFmtId="0" fontId="102" fillId="8" borderId="133" xfId="0" applyFont="1" applyFill="1" applyBorder="1"/>
    <xf numFmtId="0" fontId="65" fillId="8" borderId="133" xfId="0" applyFont="1" applyFill="1" applyBorder="1"/>
    <xf numFmtId="0" fontId="102" fillId="8" borderId="133" xfId="0" applyFont="1" applyFill="1" applyBorder="1" applyAlignment="1">
      <alignment horizontal="right"/>
    </xf>
    <xf numFmtId="0" fontId="114" fillId="13" borderId="133" xfId="0" applyFont="1" applyFill="1" applyBorder="1" applyAlignment="1">
      <alignment horizontal="centerContinuous" wrapText="1"/>
    </xf>
    <xf numFmtId="0" fontId="114" fillId="13" borderId="133" xfId="0" applyFont="1" applyFill="1" applyBorder="1" applyAlignment="1">
      <alignment wrapText="1"/>
    </xf>
    <xf numFmtId="0" fontId="113" fillId="13" borderId="133" xfId="0" applyFont="1" applyFill="1" applyBorder="1" applyAlignment="1">
      <alignment wrapText="1"/>
    </xf>
    <xf numFmtId="0" fontId="107" fillId="13" borderId="133" xfId="0" applyFont="1" applyFill="1" applyBorder="1" applyAlignment="1">
      <alignment wrapText="1"/>
    </xf>
    <xf numFmtId="0" fontId="106" fillId="13" borderId="133" xfId="0" applyFont="1" applyFill="1" applyBorder="1" applyAlignment="1">
      <alignment wrapText="1"/>
    </xf>
    <xf numFmtId="0" fontId="107" fillId="0" borderId="100" xfId="0" applyFont="1" applyBorder="1" applyAlignment="1">
      <alignment vertical="center" wrapText="1"/>
    </xf>
    <xf numFmtId="0" fontId="55" fillId="0" borderId="0" xfId="0" applyFont="1" applyBorder="1" applyAlignment="1">
      <alignment vertical="center" wrapText="1"/>
    </xf>
    <xf numFmtId="0" fontId="106" fillId="0" borderId="100" xfId="0" applyFont="1" applyBorder="1" applyAlignment="1">
      <alignment vertical="center" wrapText="1"/>
    </xf>
    <xf numFmtId="0" fontId="107" fillId="0" borderId="38" xfId="0" applyFont="1" applyBorder="1" applyAlignment="1">
      <alignment vertical="center" wrapText="1"/>
    </xf>
    <xf numFmtId="0" fontId="55" fillId="0" borderId="74" xfId="0" applyFont="1" applyBorder="1" applyAlignment="1">
      <alignment vertical="center" wrapText="1"/>
    </xf>
    <xf numFmtId="0" fontId="0" fillId="14" borderId="0" xfId="0" applyFill="1" applyBorder="1"/>
    <xf numFmtId="0" fontId="13" fillId="7" borderId="0" xfId="0" applyFont="1" applyFill="1"/>
    <xf numFmtId="0" fontId="12" fillId="14" borderId="133" xfId="0" applyFont="1" applyFill="1" applyBorder="1" applyAlignment="1">
      <alignment wrapText="1"/>
    </xf>
    <xf numFmtId="0" fontId="12" fillId="14" borderId="133" xfId="0" applyFont="1" applyFill="1" applyBorder="1" applyAlignment="1">
      <alignment horizontal="center" wrapText="1"/>
    </xf>
    <xf numFmtId="0" fontId="15" fillId="14" borderId="133" xfId="0" applyFont="1" applyFill="1" applyBorder="1" applyAlignment="1">
      <alignment wrapText="1"/>
    </xf>
    <xf numFmtId="0" fontId="105" fillId="11" borderId="133" xfId="0" applyFont="1" applyFill="1" applyBorder="1" applyAlignment="1">
      <alignment horizontal="left" vertical="center" wrapText="1"/>
    </xf>
    <xf numFmtId="0" fontId="105" fillId="11" borderId="133" xfId="0" applyFont="1" applyFill="1" applyBorder="1" applyAlignment="1">
      <alignment wrapText="1"/>
    </xf>
    <xf numFmtId="0" fontId="55" fillId="7" borderId="133" xfId="0" applyFont="1" applyFill="1" applyBorder="1" applyAlignment="1">
      <alignment vertical="center" wrapText="1"/>
    </xf>
    <xf numFmtId="4" fontId="67" fillId="7" borderId="133" xfId="0" applyNumberFormat="1" applyFont="1" applyFill="1" applyBorder="1" applyAlignment="1">
      <alignment horizontal="right" vertical="center"/>
    </xf>
    <xf numFmtId="4" fontId="67" fillId="0" borderId="133" xfId="0" applyNumberFormat="1" applyFont="1" applyBorder="1" applyAlignment="1">
      <alignment horizontal="right" vertical="center"/>
    </xf>
    <xf numFmtId="0" fontId="55" fillId="7" borderId="134" xfId="0" applyFont="1" applyFill="1" applyBorder="1" applyAlignment="1">
      <alignment vertical="center" wrapText="1"/>
    </xf>
    <xf numFmtId="0" fontId="55" fillId="0" borderId="142" xfId="0" applyFont="1" applyBorder="1"/>
    <xf numFmtId="4" fontId="68" fillId="5" borderId="133" xfId="0" applyNumberFormat="1" applyFont="1" applyFill="1" applyBorder="1" applyAlignment="1">
      <alignment horizontal="right"/>
    </xf>
    <xf numFmtId="4" fontId="0" fillId="7" borderId="0" xfId="0" applyNumberFormat="1" applyFill="1"/>
    <xf numFmtId="0" fontId="0" fillId="7" borderId="0" xfId="0" applyFill="1" applyBorder="1" applyAlignment="1">
      <alignment vertical="center" wrapText="1"/>
    </xf>
    <xf numFmtId="167" fontId="126" fillId="0" borderId="0" xfId="3" applyFont="1"/>
    <xf numFmtId="167" fontId="127" fillId="0" borderId="0" xfId="3" applyFont="1"/>
    <xf numFmtId="167" fontId="127" fillId="0" borderId="0" xfId="3" applyFont="1" applyBorder="1"/>
    <xf numFmtId="167" fontId="125" fillId="0" borderId="0" xfId="3"/>
    <xf numFmtId="167" fontId="133" fillId="17" borderId="0" xfId="3" applyFont="1" applyFill="1"/>
    <xf numFmtId="167" fontId="125" fillId="17" borderId="0" xfId="3" applyFill="1"/>
    <xf numFmtId="167" fontId="125" fillId="0" borderId="0" xfId="3" applyBorder="1"/>
    <xf numFmtId="167" fontId="134" fillId="17" borderId="146" xfId="3" applyFont="1" applyFill="1" applyBorder="1" applyAlignment="1">
      <alignment wrapText="1"/>
    </xf>
    <xf numFmtId="167" fontId="134" fillId="17" borderId="147" xfId="3" applyFont="1" applyFill="1" applyBorder="1" applyAlignment="1">
      <alignment wrapText="1"/>
    </xf>
    <xf numFmtId="167" fontId="135" fillId="17" borderId="148" xfId="3" applyFont="1" applyFill="1" applyBorder="1" applyAlignment="1">
      <alignment horizontal="center" wrapText="1"/>
    </xf>
    <xf numFmtId="167" fontId="135" fillId="17" borderId="148" xfId="3" applyFont="1" applyFill="1" applyBorder="1" applyAlignment="1">
      <alignment horizontal="center" vertical="center"/>
    </xf>
    <xf numFmtId="167" fontId="125" fillId="17" borderId="148" xfId="3" applyFill="1" applyBorder="1" applyAlignment="1">
      <alignment horizontal="center" wrapText="1"/>
    </xf>
    <xf numFmtId="167" fontId="135" fillId="0" borderId="0" xfId="3" applyFont="1" applyFill="1" applyBorder="1" applyAlignment="1">
      <alignment horizontal="center" wrapText="1"/>
    </xf>
    <xf numFmtId="167" fontId="125" fillId="0" borderId="0" xfId="3" applyFill="1" applyBorder="1" applyAlignment="1">
      <alignment horizontal="center" wrapText="1"/>
    </xf>
    <xf numFmtId="167" fontId="125" fillId="0" borderId="0" xfId="3" applyBorder="1" applyAlignment="1">
      <alignment wrapText="1"/>
    </xf>
    <xf numFmtId="167" fontId="134" fillId="17" borderId="150" xfId="3" applyFont="1" applyFill="1" applyBorder="1" applyAlignment="1">
      <alignment wrapText="1"/>
    </xf>
    <xf numFmtId="167" fontId="134" fillId="17" borderId="150" xfId="3" applyFont="1" applyFill="1" applyBorder="1" applyAlignment="1">
      <alignment horizontal="center" wrapText="1"/>
    </xf>
    <xf numFmtId="167" fontId="136" fillId="17" borderId="148" xfId="3" applyFont="1" applyFill="1" applyBorder="1" applyAlignment="1">
      <alignment wrapText="1"/>
    </xf>
    <xf numFmtId="167" fontId="136" fillId="17" borderId="151" xfId="3" applyFont="1" applyFill="1" applyBorder="1" applyAlignment="1">
      <alignment horizontal="center" wrapText="1"/>
    </xf>
    <xf numFmtId="167" fontId="136" fillId="17" borderId="148" xfId="3" applyFont="1" applyFill="1" applyBorder="1" applyAlignment="1">
      <alignment horizontal="center" wrapText="1"/>
    </xf>
    <xf numFmtId="167" fontId="137" fillId="17" borderId="149" xfId="3" applyFont="1" applyFill="1" applyBorder="1" applyAlignment="1">
      <alignment horizontal="center" wrapText="1"/>
    </xf>
    <xf numFmtId="167" fontId="138" fillId="17" borderId="148" xfId="3" applyFont="1" applyFill="1" applyBorder="1" applyAlignment="1">
      <alignment wrapText="1"/>
    </xf>
    <xf numFmtId="167" fontId="136" fillId="0" borderId="0" xfId="3" applyFont="1" applyFill="1" applyBorder="1" applyAlignment="1">
      <alignment wrapText="1"/>
    </xf>
    <xf numFmtId="167" fontId="125" fillId="0" borderId="0" xfId="3" applyAlignment="1">
      <alignment wrapText="1"/>
    </xf>
    <xf numFmtId="167" fontId="125" fillId="18" borderId="148" xfId="3" applyFill="1" applyBorder="1"/>
    <xf numFmtId="167" fontId="125" fillId="18" borderId="151" xfId="3" applyFill="1" applyBorder="1"/>
    <xf numFmtId="167" fontId="125" fillId="19" borderId="149" xfId="3" applyFill="1" applyBorder="1"/>
    <xf numFmtId="167" fontId="125" fillId="0" borderId="0" xfId="3" applyFill="1" applyBorder="1"/>
    <xf numFmtId="167" fontId="125" fillId="0" borderId="148" xfId="3" applyBorder="1"/>
    <xf numFmtId="167" fontId="125" fillId="7" borderId="151" xfId="3" applyFill="1" applyBorder="1"/>
    <xf numFmtId="167" fontId="125" fillId="20" borderId="148" xfId="3" applyFill="1" applyBorder="1"/>
    <xf numFmtId="167" fontId="125" fillId="0" borderId="151" xfId="3" applyBorder="1"/>
    <xf numFmtId="167" fontId="125" fillId="16" borderId="148" xfId="3" applyFill="1" applyBorder="1"/>
    <xf numFmtId="167" fontId="125" fillId="0" borderId="148" xfId="3" applyFill="1" applyBorder="1"/>
    <xf numFmtId="167" fontId="135" fillId="19" borderId="148" xfId="3" applyFont="1" applyFill="1" applyBorder="1" applyAlignment="1">
      <alignment horizontal="right"/>
    </xf>
    <xf numFmtId="167" fontId="125" fillId="19" borderId="151" xfId="3" applyFill="1" applyBorder="1"/>
    <xf numFmtId="167" fontId="125" fillId="19" borderId="148" xfId="3" applyFill="1" applyBorder="1"/>
    <xf numFmtId="167" fontId="125" fillId="19" borderId="156" xfId="3" applyFill="1" applyBorder="1"/>
    <xf numFmtId="167" fontId="135" fillId="0" borderId="0" xfId="3" applyFont="1" applyAlignment="1">
      <alignment horizontal="right"/>
    </xf>
    <xf numFmtId="167" fontId="135" fillId="17" borderId="149" xfId="3" applyFont="1" applyFill="1" applyBorder="1" applyAlignment="1">
      <alignment horizontal="center" wrapText="1"/>
    </xf>
    <xf numFmtId="167" fontId="134" fillId="17" borderId="152" xfId="3" applyFont="1" applyFill="1" applyBorder="1" applyAlignment="1">
      <alignment wrapText="1"/>
    </xf>
    <xf numFmtId="167" fontId="136" fillId="17" borderId="149" xfId="3" applyFont="1" applyFill="1" applyBorder="1" applyAlignment="1">
      <alignment wrapText="1"/>
    </xf>
    <xf numFmtId="167" fontId="137" fillId="17" borderId="148" xfId="3" applyFont="1" applyFill="1" applyBorder="1" applyAlignment="1">
      <alignment horizontal="center" wrapText="1"/>
    </xf>
    <xf numFmtId="167" fontId="125" fillId="18" borderId="149" xfId="3" applyFill="1" applyBorder="1"/>
    <xf numFmtId="167" fontId="125" fillId="0" borderId="149" xfId="3" applyBorder="1"/>
    <xf numFmtId="0" fontId="125" fillId="0" borderId="148" xfId="3" applyNumberFormat="1" applyBorder="1"/>
    <xf numFmtId="0" fontId="125" fillId="19" borderId="148" xfId="3" applyNumberFormat="1" applyFill="1" applyBorder="1"/>
    <xf numFmtId="3" fontId="125" fillId="0" borderId="148" xfId="3" applyNumberFormat="1" applyBorder="1" applyAlignment="1">
      <alignment horizontal="right"/>
    </xf>
    <xf numFmtId="0" fontId="125" fillId="19" borderId="148" xfId="3" applyNumberFormat="1" applyFill="1" applyBorder="1" applyAlignment="1">
      <alignment horizontal="right"/>
    </xf>
    <xf numFmtId="3" fontId="125" fillId="19" borderId="148" xfId="3" applyNumberFormat="1" applyFill="1" applyBorder="1" applyAlignment="1">
      <alignment horizontal="right"/>
    </xf>
    <xf numFmtId="0" fontId="125" fillId="0" borderId="148" xfId="3" applyNumberFormat="1" applyBorder="1" applyAlignment="1">
      <alignment horizontal="right"/>
    </xf>
    <xf numFmtId="167" fontId="125" fillId="0" borderId="149" xfId="3" applyFill="1" applyBorder="1"/>
    <xf numFmtId="167" fontId="135" fillId="19" borderId="149" xfId="3" applyFont="1" applyFill="1" applyBorder="1" applyAlignment="1">
      <alignment horizontal="right"/>
    </xf>
    <xf numFmtId="167" fontId="125" fillId="0" borderId="0" xfId="3" applyAlignment="1">
      <alignment vertical="center" wrapText="1"/>
    </xf>
    <xf numFmtId="167" fontId="133" fillId="21" borderId="0" xfId="3" applyFont="1" applyFill="1"/>
    <xf numFmtId="167" fontId="125" fillId="21" borderId="0" xfId="3" applyFill="1"/>
    <xf numFmtId="167" fontId="125" fillId="0" borderId="0" xfId="3" applyFill="1"/>
    <xf numFmtId="167" fontId="134" fillId="21" borderId="146" xfId="3" applyFont="1" applyFill="1" applyBorder="1"/>
    <xf numFmtId="167" fontId="134" fillId="21" borderId="147" xfId="3" applyFont="1" applyFill="1" applyBorder="1" applyAlignment="1">
      <alignment horizontal="center" wrapText="1"/>
    </xf>
    <xf numFmtId="167" fontId="136" fillId="21" borderId="148" xfId="3" applyFont="1" applyFill="1" applyBorder="1"/>
    <xf numFmtId="167" fontId="136" fillId="21" borderId="151" xfId="3" applyFont="1" applyFill="1" applyBorder="1" applyAlignment="1">
      <alignment horizontal="center" wrapText="1"/>
    </xf>
    <xf numFmtId="167" fontId="136" fillId="21" borderId="148" xfId="3" applyFont="1" applyFill="1" applyBorder="1" applyAlignment="1">
      <alignment horizontal="center" wrapText="1"/>
    </xf>
    <xf numFmtId="167" fontId="136" fillId="16" borderId="0" xfId="3" applyFont="1" applyFill="1" applyBorder="1" applyAlignment="1">
      <alignment wrapText="1"/>
    </xf>
    <xf numFmtId="167" fontId="140" fillId="18" borderId="148" xfId="3" applyFont="1" applyFill="1" applyBorder="1"/>
    <xf numFmtId="167" fontId="140" fillId="0" borderId="148" xfId="3" applyFont="1" applyBorder="1"/>
    <xf numFmtId="0" fontId="125" fillId="0" borderId="151" xfId="3" applyNumberFormat="1" applyBorder="1"/>
    <xf numFmtId="3" fontId="125" fillId="0" borderId="151" xfId="3" applyNumberFormat="1" applyBorder="1"/>
    <xf numFmtId="3" fontId="125" fillId="0" borderId="148" xfId="3" applyNumberFormat="1" applyBorder="1"/>
    <xf numFmtId="167" fontId="125" fillId="16" borderId="0" xfId="3" applyFill="1" applyBorder="1"/>
    <xf numFmtId="167" fontId="136" fillId="0" borderId="158" xfId="3" applyFont="1" applyFill="1" applyBorder="1" applyAlignment="1">
      <alignment horizontal="left" vertical="center" wrapText="1"/>
    </xf>
    <xf numFmtId="167" fontId="136" fillId="0" borderId="0" xfId="3" applyFont="1" applyFill="1" applyBorder="1" applyAlignment="1">
      <alignment horizontal="center" vertical="center" wrapText="1"/>
    </xf>
    <xf numFmtId="167" fontId="135" fillId="0" borderId="0" xfId="3" applyFont="1" applyFill="1" applyBorder="1" applyAlignment="1">
      <alignment horizontal="right"/>
    </xf>
    <xf numFmtId="167" fontId="134" fillId="21" borderId="148" xfId="3" applyFont="1" applyFill="1" applyBorder="1"/>
    <xf numFmtId="167" fontId="136" fillId="21" borderId="148" xfId="3" applyFont="1" applyFill="1" applyBorder="1" applyAlignment="1">
      <alignment horizontal="left"/>
    </xf>
    <xf numFmtId="167" fontId="136" fillId="18" borderId="148" xfId="3" applyFont="1" applyFill="1" applyBorder="1"/>
    <xf numFmtId="167" fontId="125" fillId="0" borderId="150" xfId="3" applyBorder="1"/>
    <xf numFmtId="167" fontId="134" fillId="21" borderId="147" xfId="3" applyFont="1" applyFill="1" applyBorder="1" applyAlignment="1">
      <alignment wrapText="1"/>
    </xf>
    <xf numFmtId="167" fontId="138" fillId="21" borderId="160" xfId="3" applyFont="1" applyFill="1" applyBorder="1" applyAlignment="1">
      <alignment wrapText="1"/>
    </xf>
    <xf numFmtId="167" fontId="136" fillId="21" borderId="157" xfId="3" applyFont="1" applyFill="1" applyBorder="1" applyAlignment="1">
      <alignment wrapText="1"/>
    </xf>
    <xf numFmtId="167" fontId="136" fillId="21" borderId="155" xfId="3" applyFont="1" applyFill="1" applyBorder="1" applyAlignment="1">
      <alignment wrapText="1"/>
    </xf>
    <xf numFmtId="167" fontId="138" fillId="21" borderId="155" xfId="3" applyFont="1" applyFill="1" applyBorder="1" applyAlignment="1">
      <alignment wrapText="1"/>
    </xf>
    <xf numFmtId="167" fontId="125" fillId="0" borderId="152" xfId="3" applyBorder="1"/>
    <xf numFmtId="167" fontId="125" fillId="18" borderId="160" xfId="3" applyFill="1" applyBorder="1"/>
    <xf numFmtId="167" fontId="125" fillId="18" borderId="157" xfId="3" applyFill="1" applyBorder="1"/>
    <xf numFmtId="167" fontId="125" fillId="0" borderId="156" xfId="3" applyBorder="1"/>
    <xf numFmtId="167" fontId="104" fillId="0" borderId="148" xfId="3" applyFont="1" applyBorder="1"/>
    <xf numFmtId="167" fontId="141" fillId="0" borderId="148" xfId="3" applyFont="1" applyBorder="1"/>
    <xf numFmtId="167" fontId="135" fillId="22" borderId="148" xfId="3" applyFont="1" applyFill="1" applyBorder="1" applyAlignment="1">
      <alignment horizontal="right"/>
    </xf>
    <xf numFmtId="167" fontId="140" fillId="22" borderId="148" xfId="3" applyFont="1" applyFill="1" applyBorder="1" applyAlignment="1">
      <alignment horizontal="right"/>
    </xf>
    <xf numFmtId="167" fontId="125" fillId="22" borderId="156" xfId="3" applyFill="1" applyBorder="1"/>
    <xf numFmtId="167" fontId="125" fillId="22" borderId="148" xfId="3" applyFill="1" applyBorder="1"/>
    <xf numFmtId="167" fontId="125" fillId="0" borderId="0" xfId="3" applyBorder="1" applyAlignment="1"/>
    <xf numFmtId="167" fontId="136" fillId="0" borderId="0" xfId="3" applyFont="1" applyBorder="1" applyAlignment="1">
      <alignment horizontal="center" vertical="center" wrapText="1"/>
    </xf>
    <xf numFmtId="167" fontId="135" fillId="16" borderId="0" xfId="3" applyFont="1" applyFill="1" applyBorder="1" applyAlignment="1">
      <alignment horizontal="right" wrapText="1"/>
    </xf>
    <xf numFmtId="167" fontId="140" fillId="16" borderId="0" xfId="3" applyFont="1" applyFill="1" applyBorder="1" applyAlignment="1">
      <alignment horizontal="right" wrapText="1"/>
    </xf>
    <xf numFmtId="167" fontId="125" fillId="16" borderId="0" xfId="3" applyFill="1" applyBorder="1" applyAlignment="1">
      <alignment wrapText="1"/>
    </xf>
    <xf numFmtId="167" fontId="136" fillId="21" borderId="148" xfId="3" applyFont="1" applyFill="1" applyBorder="1" applyAlignment="1">
      <alignment wrapText="1"/>
    </xf>
    <xf numFmtId="167" fontId="137" fillId="21" borderId="161" xfId="3" applyFont="1" applyFill="1" applyBorder="1" applyAlignment="1">
      <alignment wrapText="1"/>
    </xf>
    <xf numFmtId="167" fontId="138" fillId="21" borderId="156" xfId="3" applyFont="1" applyFill="1" applyBorder="1" applyAlignment="1">
      <alignment wrapText="1"/>
    </xf>
    <xf numFmtId="167" fontId="138" fillId="21" borderId="148" xfId="3" applyFont="1" applyFill="1" applyBorder="1" applyAlignment="1">
      <alignment wrapText="1"/>
    </xf>
    <xf numFmtId="167" fontId="125" fillId="22" borderId="161" xfId="3" applyFill="1" applyBorder="1"/>
    <xf numFmtId="167" fontId="125" fillId="18" borderId="155" xfId="3" applyFill="1" applyBorder="1"/>
    <xf numFmtId="167" fontId="135" fillId="22" borderId="149" xfId="3" applyFont="1" applyFill="1" applyBorder="1" applyAlignment="1">
      <alignment horizontal="right"/>
    </xf>
    <xf numFmtId="167" fontId="135" fillId="22" borderId="156" xfId="3" applyFont="1" applyFill="1" applyBorder="1" applyAlignment="1">
      <alignment horizontal="right"/>
    </xf>
    <xf numFmtId="167" fontId="125" fillId="22" borderId="151" xfId="3" applyFill="1" applyBorder="1"/>
    <xf numFmtId="167" fontId="136" fillId="0" borderId="0" xfId="3" applyFont="1" applyBorder="1" applyAlignment="1"/>
    <xf numFmtId="167" fontId="135" fillId="16" borderId="0" xfId="3" applyFont="1" applyFill="1" applyBorder="1" applyAlignment="1">
      <alignment horizontal="right"/>
    </xf>
    <xf numFmtId="167" fontId="135" fillId="16" borderId="0" xfId="3" applyFont="1" applyFill="1" applyBorder="1"/>
    <xf numFmtId="167" fontId="133" fillId="23" borderId="0" xfId="3" applyFont="1" applyFill="1"/>
    <xf numFmtId="167" fontId="142" fillId="23" borderId="0" xfId="3" applyFont="1" applyFill="1"/>
    <xf numFmtId="167" fontId="142" fillId="0" borderId="0" xfId="3" applyFont="1" applyFill="1"/>
    <xf numFmtId="167" fontId="135" fillId="0" borderId="0" xfId="3" applyFont="1"/>
    <xf numFmtId="167" fontId="134" fillId="23" borderId="146" xfId="3" applyFont="1" applyFill="1" applyBorder="1" applyAlignment="1">
      <alignment wrapText="1"/>
    </xf>
    <xf numFmtId="167" fontId="132" fillId="23" borderId="147" xfId="3" applyFont="1" applyFill="1" applyBorder="1" applyAlignment="1">
      <alignment horizontal="center" wrapText="1"/>
    </xf>
    <xf numFmtId="167" fontId="136" fillId="23" borderId="148" xfId="3" applyFont="1" applyFill="1" applyBorder="1" applyAlignment="1">
      <alignment wrapText="1"/>
    </xf>
    <xf numFmtId="167" fontId="137" fillId="23" borderId="161" xfId="3" applyFont="1" applyFill="1" applyBorder="1" applyAlignment="1">
      <alignment wrapText="1"/>
    </xf>
    <xf numFmtId="167" fontId="136" fillId="23" borderId="156" xfId="3" applyFont="1" applyFill="1" applyBorder="1" applyAlignment="1">
      <alignment wrapText="1"/>
    </xf>
    <xf numFmtId="167" fontId="125" fillId="18" borderId="161" xfId="3" applyFill="1" applyBorder="1"/>
    <xf numFmtId="167" fontId="125" fillId="18" borderId="156" xfId="3" applyFill="1" applyBorder="1"/>
    <xf numFmtId="167" fontId="125" fillId="0" borderId="161" xfId="3" applyBorder="1"/>
    <xf numFmtId="167" fontId="141" fillId="0" borderId="156" xfId="3" applyFont="1" applyBorder="1"/>
    <xf numFmtId="167" fontId="135" fillId="22" borderId="161" xfId="3" applyFont="1" applyFill="1" applyBorder="1"/>
    <xf numFmtId="167" fontId="133" fillId="24" borderId="0" xfId="3" applyFont="1" applyFill="1"/>
    <xf numFmtId="167" fontId="125" fillId="24" borderId="0" xfId="3" applyFill="1"/>
    <xf numFmtId="167" fontId="125" fillId="16" borderId="0" xfId="3" applyFill="1"/>
    <xf numFmtId="167" fontId="133" fillId="0" borderId="0" xfId="3" applyFont="1" applyFill="1"/>
    <xf numFmtId="167" fontId="140" fillId="16" borderId="0" xfId="3" applyFont="1" applyFill="1" applyBorder="1"/>
    <xf numFmtId="167" fontId="136" fillId="25" borderId="151" xfId="3" applyFont="1" applyFill="1" applyBorder="1" applyAlignment="1">
      <alignment wrapText="1"/>
    </xf>
    <xf numFmtId="167" fontId="136" fillId="25" borderId="148" xfId="3" applyFont="1" applyFill="1" applyBorder="1" applyAlignment="1">
      <alignment wrapText="1"/>
    </xf>
    <xf numFmtId="167" fontId="138" fillId="25" borderId="160" xfId="3" applyFont="1" applyFill="1" applyBorder="1" applyAlignment="1">
      <alignment wrapText="1"/>
    </xf>
    <xf numFmtId="167" fontId="145" fillId="25" borderId="157" xfId="3" applyFont="1" applyFill="1" applyBorder="1" applyAlignment="1">
      <alignment wrapText="1"/>
    </xf>
    <xf numFmtId="167" fontId="136" fillId="25" borderId="157" xfId="3" applyFont="1" applyFill="1" applyBorder="1" applyAlignment="1">
      <alignment wrapText="1"/>
    </xf>
    <xf numFmtId="167" fontId="136" fillId="25" borderId="155" xfId="3" applyFont="1" applyFill="1" applyBorder="1" applyAlignment="1">
      <alignment wrapText="1"/>
    </xf>
    <xf numFmtId="167" fontId="138" fillId="25" borderId="155" xfId="3" applyFont="1" applyFill="1" applyBorder="1" applyAlignment="1">
      <alignment wrapText="1"/>
    </xf>
    <xf numFmtId="167" fontId="140" fillId="18" borderId="156" xfId="3" applyFont="1" applyFill="1" applyBorder="1"/>
    <xf numFmtId="167" fontId="125" fillId="7" borderId="148" xfId="3" applyFill="1" applyBorder="1"/>
    <xf numFmtId="167" fontId="140" fillId="0" borderId="156" xfId="3" applyFont="1" applyBorder="1"/>
    <xf numFmtId="167" fontId="140" fillId="22" borderId="156" xfId="3" applyFont="1" applyFill="1" applyBorder="1"/>
    <xf numFmtId="167" fontId="140" fillId="22" borderId="148" xfId="3" applyFont="1" applyFill="1" applyBorder="1"/>
    <xf numFmtId="167" fontId="125" fillId="0" borderId="0" xfId="3" applyBorder="1" applyAlignment="1">
      <alignment horizontal="left" vertical="center" wrapText="1"/>
    </xf>
    <xf numFmtId="167" fontId="135" fillId="0" borderId="0" xfId="3" applyFont="1" applyBorder="1" applyAlignment="1">
      <alignment horizontal="right"/>
    </xf>
    <xf numFmtId="167" fontId="140" fillId="0" borderId="0" xfId="3" applyFont="1" applyBorder="1"/>
    <xf numFmtId="167" fontId="137" fillId="0" borderId="0" xfId="3" applyFont="1" applyFill="1"/>
    <xf numFmtId="167" fontId="136" fillId="25" borderId="147" xfId="3" applyFont="1" applyFill="1" applyBorder="1" applyAlignment="1">
      <alignment horizontal="center" wrapText="1"/>
    </xf>
    <xf numFmtId="167" fontId="136" fillId="25" borderId="157" xfId="3" applyFont="1" applyFill="1" applyBorder="1" applyAlignment="1">
      <alignment horizontal="center" wrapText="1"/>
    </xf>
    <xf numFmtId="167" fontId="137" fillId="25" borderId="159" xfId="3" applyFont="1" applyFill="1" applyBorder="1" applyAlignment="1">
      <alignment wrapText="1"/>
    </xf>
    <xf numFmtId="167" fontId="125" fillId="26" borderId="151" xfId="3" applyFill="1" applyBorder="1"/>
    <xf numFmtId="167" fontId="125" fillId="26" borderId="148" xfId="3" applyFill="1" applyBorder="1"/>
    <xf numFmtId="167" fontId="140" fillId="27" borderId="159" xfId="3" applyFont="1" applyFill="1" applyBorder="1"/>
    <xf numFmtId="167" fontId="140" fillId="22" borderId="159" xfId="3" applyFont="1" applyFill="1" applyBorder="1"/>
    <xf numFmtId="167" fontId="135" fillId="22" borderId="159" xfId="3" applyFont="1" applyFill="1" applyBorder="1"/>
    <xf numFmtId="167" fontId="136" fillId="0" borderId="0" xfId="3" applyFont="1" applyFill="1" applyBorder="1" applyAlignment="1">
      <alignment horizontal="left" vertical="center" wrapText="1"/>
    </xf>
    <xf numFmtId="167" fontId="135" fillId="0" borderId="0" xfId="3" applyFont="1" applyFill="1" applyBorder="1"/>
    <xf numFmtId="167" fontId="140" fillId="0" borderId="0" xfId="3" applyFont="1" applyFill="1" applyBorder="1"/>
    <xf numFmtId="167" fontId="133" fillId="28" borderId="0" xfId="3" applyFont="1" applyFill="1"/>
    <xf numFmtId="167" fontId="125" fillId="28" borderId="0" xfId="3" applyFill="1"/>
    <xf numFmtId="167" fontId="136" fillId="0" borderId="0" xfId="3" applyFont="1" applyBorder="1" applyAlignment="1">
      <alignment horizontal="left"/>
    </xf>
    <xf numFmtId="167" fontId="137" fillId="28" borderId="155" xfId="3" applyFont="1" applyFill="1" applyBorder="1" applyAlignment="1">
      <alignment wrapText="1"/>
    </xf>
    <xf numFmtId="167" fontId="138" fillId="28" borderId="155" xfId="3" applyFont="1" applyFill="1" applyBorder="1" applyAlignment="1">
      <alignment wrapText="1"/>
    </xf>
    <xf numFmtId="167" fontId="137" fillId="28" borderId="157" xfId="3" applyFont="1" applyFill="1" applyBorder="1" applyAlignment="1">
      <alignment wrapText="1"/>
    </xf>
    <xf numFmtId="167" fontId="136" fillId="28" borderId="155" xfId="3" applyFont="1" applyFill="1" applyBorder="1" applyAlignment="1">
      <alignment wrapText="1"/>
    </xf>
    <xf numFmtId="167" fontId="145" fillId="28" borderId="157" xfId="3" applyFont="1" applyFill="1" applyBorder="1" applyAlignment="1">
      <alignment wrapText="1"/>
    </xf>
    <xf numFmtId="167" fontId="136" fillId="28" borderId="162" xfId="3" applyFont="1" applyFill="1" applyBorder="1" applyAlignment="1">
      <alignment wrapText="1"/>
    </xf>
    <xf numFmtId="167" fontId="140" fillId="18" borderId="151" xfId="3" applyFont="1" applyFill="1" applyBorder="1"/>
    <xf numFmtId="167" fontId="140" fillId="18" borderId="161" xfId="3" applyFont="1" applyFill="1" applyBorder="1"/>
    <xf numFmtId="167" fontId="140" fillId="0" borderId="151" xfId="3" applyFont="1" applyBorder="1"/>
    <xf numFmtId="167" fontId="140" fillId="0" borderId="161" xfId="3" applyFont="1" applyBorder="1"/>
    <xf numFmtId="167" fontId="140" fillId="22" borderId="151" xfId="3" applyFont="1" applyFill="1" applyBorder="1"/>
    <xf numFmtId="167" fontId="140" fillId="22" borderId="161" xfId="3" applyFont="1" applyFill="1" applyBorder="1"/>
    <xf numFmtId="167" fontId="136" fillId="0" borderId="0" xfId="3" applyFont="1"/>
    <xf numFmtId="167" fontId="136" fillId="28" borderId="151" xfId="3" applyFont="1" applyFill="1" applyBorder="1" applyAlignment="1">
      <alignment wrapText="1"/>
    </xf>
    <xf numFmtId="167" fontId="136" fillId="28" borderId="148" xfId="3" applyFont="1" applyFill="1" applyBorder="1" applyAlignment="1">
      <alignment wrapText="1"/>
    </xf>
    <xf numFmtId="167" fontId="136" fillId="28" borderId="149" xfId="3" applyFont="1" applyFill="1" applyBorder="1" applyAlignment="1">
      <alignment wrapText="1"/>
    </xf>
    <xf numFmtId="167" fontId="137" fillId="28" borderId="148" xfId="3" applyFont="1" applyFill="1" applyBorder="1" applyAlignment="1">
      <alignment wrapText="1"/>
    </xf>
    <xf numFmtId="167" fontId="140" fillId="18" borderId="159" xfId="3" applyFont="1" applyFill="1" applyBorder="1"/>
    <xf numFmtId="167" fontId="140" fillId="0" borderId="159" xfId="3" applyFont="1" applyBorder="1"/>
    <xf numFmtId="167" fontId="135" fillId="22" borderId="159" xfId="3" applyFont="1" applyFill="1" applyBorder="1" applyAlignment="1">
      <alignment horizontal="right"/>
    </xf>
    <xf numFmtId="167" fontId="135" fillId="22" borderId="148" xfId="3" applyFont="1" applyFill="1" applyBorder="1"/>
    <xf numFmtId="167" fontId="135" fillId="16" borderId="152" xfId="3" applyFont="1" applyFill="1" applyBorder="1" applyAlignment="1">
      <alignment horizontal="right"/>
    </xf>
    <xf numFmtId="167" fontId="140" fillId="16" borderId="158" xfId="3" applyFont="1" applyFill="1" applyBorder="1"/>
    <xf numFmtId="167" fontId="125" fillId="0" borderId="163" xfId="3" applyBorder="1"/>
    <xf numFmtId="167" fontId="134" fillId="28" borderId="149" xfId="3" applyFont="1" applyFill="1" applyBorder="1" applyAlignment="1">
      <alignment horizontal="left" wrapText="1"/>
    </xf>
    <xf numFmtId="167" fontId="136" fillId="28" borderId="148" xfId="3" applyFont="1" applyFill="1" applyBorder="1" applyAlignment="1">
      <alignment horizontal="center" vertical="center" wrapText="1"/>
    </xf>
    <xf numFmtId="167" fontId="135" fillId="28" borderId="164" xfId="3" applyFont="1" applyFill="1" applyBorder="1" applyAlignment="1">
      <alignment horizontal="right"/>
    </xf>
    <xf numFmtId="167" fontId="140" fillId="28" borderId="148" xfId="3" applyFont="1" applyFill="1" applyBorder="1" applyAlignment="1">
      <alignment wrapText="1"/>
    </xf>
    <xf numFmtId="167" fontId="140" fillId="28" borderId="158" xfId="3" applyFont="1" applyFill="1" applyBorder="1" applyAlignment="1">
      <alignment wrapText="1"/>
    </xf>
    <xf numFmtId="167" fontId="135" fillId="28" borderId="148" xfId="3" applyFont="1" applyFill="1" applyBorder="1" applyAlignment="1">
      <alignment wrapText="1"/>
    </xf>
    <xf numFmtId="167" fontId="135" fillId="18" borderId="151" xfId="3" applyFont="1" applyFill="1" applyBorder="1" applyAlignment="1">
      <alignment horizontal="right"/>
    </xf>
    <xf numFmtId="167" fontId="135" fillId="18" borderId="150" xfId="3" applyFont="1" applyFill="1" applyBorder="1"/>
    <xf numFmtId="167" fontId="135" fillId="16" borderId="151" xfId="3" applyFont="1" applyFill="1" applyBorder="1" applyAlignment="1">
      <alignment horizontal="right"/>
    </xf>
    <xf numFmtId="167" fontId="140" fillId="16" borderId="148" xfId="3" applyFont="1" applyFill="1" applyBorder="1"/>
    <xf numFmtId="167" fontId="135" fillId="22" borderId="150" xfId="3" applyFont="1" applyFill="1" applyBorder="1"/>
    <xf numFmtId="167" fontId="135" fillId="16" borderId="164" xfId="3" applyFont="1" applyFill="1" applyBorder="1" applyAlignment="1">
      <alignment horizontal="right"/>
    </xf>
    <xf numFmtId="167" fontId="140" fillId="16" borderId="164" xfId="3" applyFont="1" applyFill="1" applyBorder="1"/>
    <xf numFmtId="167" fontId="135" fillId="22" borderId="158" xfId="3" applyFont="1" applyFill="1" applyBorder="1" applyAlignment="1">
      <alignment horizontal="right"/>
    </xf>
    <xf numFmtId="167" fontId="140" fillId="22" borderId="149" xfId="3" applyFont="1" applyFill="1" applyBorder="1"/>
    <xf numFmtId="167" fontId="136" fillId="0" borderId="0" xfId="3" applyFont="1" applyFill="1" applyBorder="1" applyAlignment="1">
      <alignment horizontal="left"/>
    </xf>
    <xf numFmtId="167" fontId="133" fillId="29" borderId="0" xfId="3" applyFont="1" applyFill="1"/>
    <xf numFmtId="167" fontId="125" fillId="29" borderId="0" xfId="3" applyFill="1"/>
    <xf numFmtId="167" fontId="133" fillId="0" borderId="0" xfId="3" applyFont="1"/>
    <xf numFmtId="167" fontId="136" fillId="29" borderId="161" xfId="3" applyFont="1" applyFill="1" applyBorder="1" applyAlignment="1">
      <alignment wrapText="1"/>
    </xf>
    <xf numFmtId="167" fontId="136" fillId="29" borderId="155" xfId="3" applyFont="1" applyFill="1" applyBorder="1" applyAlignment="1">
      <alignment wrapText="1"/>
    </xf>
    <xf numFmtId="167" fontId="136" fillId="29" borderId="157" xfId="3" applyFont="1" applyFill="1" applyBorder="1" applyAlignment="1">
      <alignment wrapText="1"/>
    </xf>
    <xf numFmtId="167" fontId="137" fillId="29" borderId="148" xfId="3" applyFont="1" applyFill="1" applyBorder="1" applyAlignment="1">
      <alignment wrapText="1"/>
    </xf>
    <xf numFmtId="167" fontId="137" fillId="29" borderId="162" xfId="3" applyFont="1" applyFill="1" applyBorder="1" applyAlignment="1">
      <alignment wrapText="1"/>
    </xf>
    <xf numFmtId="167" fontId="136" fillId="29" borderId="156" xfId="3" applyFont="1" applyFill="1" applyBorder="1" applyAlignment="1">
      <alignment wrapText="1"/>
    </xf>
    <xf numFmtId="167" fontId="136" fillId="29" borderId="148" xfId="3" applyFont="1" applyFill="1" applyBorder="1" applyAlignment="1">
      <alignment wrapText="1"/>
    </xf>
    <xf numFmtId="167" fontId="125" fillId="0" borderId="161" xfId="3" applyFill="1" applyBorder="1"/>
    <xf numFmtId="167" fontId="137" fillId="29" borderId="159" xfId="3" applyFont="1" applyFill="1" applyBorder="1" applyAlignment="1">
      <alignment wrapText="1"/>
    </xf>
    <xf numFmtId="167" fontId="136" fillId="29" borderId="151" xfId="3" applyFont="1" applyFill="1" applyBorder="1" applyAlignment="1">
      <alignment wrapText="1"/>
    </xf>
    <xf numFmtId="167" fontId="140" fillId="18" borderId="157" xfId="3" applyFont="1" applyFill="1" applyBorder="1"/>
    <xf numFmtId="167" fontId="125" fillId="22" borderId="165" xfId="3" applyFill="1" applyBorder="1"/>
    <xf numFmtId="167" fontId="125" fillId="22" borderId="159" xfId="3" applyFill="1" applyBorder="1"/>
    <xf numFmtId="167" fontId="133" fillId="30" borderId="0" xfId="3" applyFont="1" applyFill="1"/>
    <xf numFmtId="167" fontId="125" fillId="30" borderId="0" xfId="3" applyFill="1"/>
    <xf numFmtId="167" fontId="135" fillId="30" borderId="0" xfId="3" applyFont="1" applyFill="1"/>
    <xf numFmtId="167" fontId="134" fillId="30" borderId="146" xfId="3" applyFont="1" applyFill="1" applyBorder="1" applyAlignment="1">
      <alignment wrapText="1"/>
    </xf>
    <xf numFmtId="167" fontId="134" fillId="30" borderId="148" xfId="3" applyFont="1" applyFill="1" applyBorder="1" applyAlignment="1">
      <alignment horizontal="center" wrapText="1"/>
    </xf>
    <xf numFmtId="167" fontId="136" fillId="30" borderId="148" xfId="3" applyFont="1" applyFill="1" applyBorder="1" applyAlignment="1">
      <alignment wrapText="1"/>
    </xf>
    <xf numFmtId="167" fontId="136" fillId="30" borderId="151" xfId="3" applyFont="1" applyFill="1" applyBorder="1" applyAlignment="1">
      <alignment wrapText="1"/>
    </xf>
    <xf numFmtId="167" fontId="136" fillId="30" borderId="158" xfId="3" applyFont="1" applyFill="1" applyBorder="1" applyAlignment="1">
      <alignment wrapText="1"/>
    </xf>
    <xf numFmtId="167" fontId="125" fillId="18" borderId="158" xfId="3" applyFill="1" applyBorder="1"/>
    <xf numFmtId="167" fontId="125" fillId="0" borderId="158" xfId="3" applyBorder="1"/>
    <xf numFmtId="167" fontId="125" fillId="0" borderId="166" xfId="3" applyBorder="1"/>
    <xf numFmtId="167" fontId="125" fillId="0" borderId="147" xfId="3" applyBorder="1"/>
    <xf numFmtId="167" fontId="125" fillId="0" borderId="164" xfId="3" applyBorder="1"/>
    <xf numFmtId="167" fontId="134" fillId="25" borderId="146" xfId="3" applyFont="1" applyFill="1" applyBorder="1" applyAlignment="1">
      <alignment horizontal="left" vertical="center" wrapText="1"/>
    </xf>
    <xf numFmtId="167" fontId="134" fillId="25" borderId="148" xfId="3" applyFont="1" applyFill="1" applyBorder="1" applyAlignment="1">
      <alignment wrapText="1"/>
    </xf>
    <xf numFmtId="168" fontId="135" fillId="0" borderId="148" xfId="3" applyNumberFormat="1" applyFont="1" applyBorder="1"/>
    <xf numFmtId="168" fontId="140" fillId="0" borderId="148" xfId="3" applyNumberFormat="1" applyFont="1" applyBorder="1"/>
    <xf numFmtId="2" fontId="73" fillId="0" borderId="0" xfId="3" applyNumberFormat="1" applyFont="1"/>
    <xf numFmtId="168" fontId="154" fillId="0" borderId="148" xfId="3" applyNumberFormat="1" applyFont="1" applyBorder="1"/>
    <xf numFmtId="167" fontId="125" fillId="0" borderId="155" xfId="3" applyBorder="1"/>
    <xf numFmtId="168" fontId="135" fillId="19" borderId="148" xfId="3" applyNumberFormat="1" applyFont="1" applyFill="1" applyBorder="1" applyAlignment="1">
      <alignment horizontal="right"/>
    </xf>
    <xf numFmtId="0" fontId="1" fillId="0" borderId="0" xfId="4"/>
    <xf numFmtId="0" fontId="106" fillId="3" borderId="20" xfId="0" applyFont="1" applyFill="1" applyBorder="1" applyAlignment="1">
      <alignment horizontal="center" wrapText="1"/>
    </xf>
    <xf numFmtId="0" fontId="106" fillId="3" borderId="21" xfId="0" applyFont="1" applyFill="1" applyBorder="1" applyAlignment="1">
      <alignment horizontal="center" wrapText="1"/>
    </xf>
    <xf numFmtId="0" fontId="107" fillId="3" borderId="22" xfId="0" applyFont="1" applyFill="1" applyBorder="1" applyAlignment="1">
      <alignment horizontal="center" wrapText="1"/>
    </xf>
    <xf numFmtId="0" fontId="108" fillId="3" borderId="23" xfId="0" applyFont="1" applyFill="1" applyBorder="1" applyAlignment="1">
      <alignment wrapText="1"/>
    </xf>
    <xf numFmtId="0" fontId="106" fillId="3" borderId="21" xfId="0" applyFont="1" applyFill="1" applyBorder="1" applyAlignment="1">
      <alignment wrapText="1"/>
    </xf>
    <xf numFmtId="0" fontId="108" fillId="3" borderId="21" xfId="0" applyFont="1" applyFill="1" applyBorder="1" applyAlignment="1">
      <alignment wrapText="1"/>
    </xf>
    <xf numFmtId="0" fontId="55" fillId="4" borderId="20" xfId="0" applyFont="1" applyFill="1" applyBorder="1"/>
    <xf numFmtId="0" fontId="55" fillId="4" borderId="21" xfId="0" applyFont="1" applyFill="1" applyBorder="1"/>
    <xf numFmtId="0" fontId="55" fillId="5" borderId="22" xfId="0" applyFont="1" applyFill="1" applyBorder="1"/>
    <xf numFmtId="0" fontId="55" fillId="4" borderId="23" xfId="0" applyFont="1" applyFill="1" applyBorder="1"/>
    <xf numFmtId="0" fontId="13" fillId="5" borderId="27" xfId="0" applyFont="1" applyFill="1" applyBorder="1" applyAlignment="1"/>
    <xf numFmtId="0" fontId="0" fillId="5" borderId="28" xfId="0" applyFill="1" applyBorder="1" applyAlignment="1"/>
    <xf numFmtId="0" fontId="0" fillId="5" borderId="29" xfId="0" applyFill="1" applyBorder="1" applyAlignment="1"/>
    <xf numFmtId="0" fontId="0" fillId="5" borderId="30" xfId="0" applyFill="1" applyBorder="1" applyAlignment="1"/>
    <xf numFmtId="0" fontId="0" fillId="5" borderId="31" xfId="0" applyFill="1" applyBorder="1" applyAlignment="1"/>
    <xf numFmtId="0" fontId="0" fillId="5" borderId="32" xfId="0" applyFill="1" applyBorder="1" applyAlignment="1"/>
    <xf numFmtId="0" fontId="0" fillId="5" borderId="33" xfId="0" applyFill="1" applyBorder="1" applyAlignment="1"/>
    <xf numFmtId="0" fontId="15" fillId="0" borderId="74" xfId="0" applyFont="1" applyBorder="1" applyAlignment="1">
      <alignment horizontal="left" vertical="center" wrapText="1"/>
    </xf>
    <xf numFmtId="0" fontId="60" fillId="0" borderId="21" xfId="0" applyFont="1" applyBorder="1"/>
    <xf numFmtId="0" fontId="155" fillId="0" borderId="21" xfId="0" applyFont="1" applyBorder="1"/>
    <xf numFmtId="0" fontId="56" fillId="0" borderId="20" xfId="0" applyFont="1" applyBorder="1"/>
    <xf numFmtId="0" fontId="28" fillId="0" borderId="0" xfId="0" applyFont="1" applyBorder="1" applyAlignment="1"/>
    <xf numFmtId="0" fontId="0" fillId="7" borderId="0" xfId="0" applyFill="1" applyBorder="1" applyAlignment="1"/>
    <xf numFmtId="0" fontId="34" fillId="7" borderId="0" xfId="0" applyFont="1" applyFill="1" applyBorder="1" applyAlignment="1">
      <alignment horizontal="right"/>
    </xf>
    <xf numFmtId="0" fontId="33" fillId="7" borderId="19" xfId="0" applyFont="1" applyFill="1" applyBorder="1"/>
    <xf numFmtId="0" fontId="15" fillId="11" borderId="119" xfId="0" applyFont="1" applyFill="1" applyBorder="1" applyAlignment="1">
      <alignment wrapText="1"/>
    </xf>
    <xf numFmtId="0" fontId="15" fillId="11" borderId="167" xfId="0" applyFont="1" applyFill="1" applyBorder="1" applyAlignment="1">
      <alignment wrapText="1"/>
    </xf>
    <xf numFmtId="4" fontId="3" fillId="0" borderId="133" xfId="0" applyNumberFormat="1" applyFont="1" applyBorder="1" applyAlignment="1">
      <alignment horizontal="center" vertical="center"/>
    </xf>
    <xf numFmtId="4" fontId="3" fillId="7" borderId="133" xfId="0" applyNumberFormat="1" applyFont="1" applyFill="1" applyBorder="1" applyAlignment="1">
      <alignment horizontal="center" vertical="center"/>
    </xf>
    <xf numFmtId="4" fontId="60" fillId="0" borderId="133" xfId="0" applyNumberFormat="1" applyFont="1" applyBorder="1" applyAlignment="1">
      <alignment horizontal="center" vertical="center"/>
    </xf>
    <xf numFmtId="4" fontId="1" fillId="7" borderId="133" xfId="0" applyNumberFormat="1" applyFont="1" applyFill="1" applyBorder="1" applyAlignment="1">
      <alignment horizontal="center"/>
    </xf>
    <xf numFmtId="4" fontId="0" fillId="7" borderId="133" xfId="0" applyNumberFormat="1" applyFill="1" applyBorder="1" applyAlignment="1">
      <alignment horizontal="center"/>
    </xf>
    <xf numFmtId="4" fontId="26" fillId="0" borderId="133" xfId="0" applyNumberFormat="1" applyFont="1" applyBorder="1" applyAlignment="1">
      <alignment horizontal="center" vertical="center"/>
    </xf>
    <xf numFmtId="4" fontId="0" fillId="7" borderId="133" xfId="0" applyNumberFormat="1" applyFill="1" applyBorder="1" applyAlignment="1">
      <alignment horizontal="center" vertical="center"/>
    </xf>
    <xf numFmtId="4" fontId="3" fillId="15" borderId="168" xfId="0" applyNumberFormat="1" applyFont="1" applyFill="1" applyBorder="1" applyAlignment="1">
      <alignment horizontal="center" vertical="center"/>
    </xf>
    <xf numFmtId="4" fontId="13" fillId="5" borderId="42" xfId="0" applyNumberFormat="1" applyFont="1" applyFill="1" applyBorder="1" applyAlignment="1">
      <alignment horizontal="center" vertical="center"/>
    </xf>
    <xf numFmtId="4" fontId="13" fillId="5" borderId="26" xfId="0" applyNumberFormat="1" applyFont="1" applyFill="1" applyBorder="1" applyAlignment="1">
      <alignment horizontal="center" vertical="center"/>
    </xf>
    <xf numFmtId="0" fontId="13" fillId="5" borderId="26" xfId="0" applyFont="1" applyFill="1" applyBorder="1" applyAlignment="1">
      <alignment horizontal="center" vertical="center"/>
    </xf>
    <xf numFmtId="0" fontId="26" fillId="0" borderId="0" xfId="0" applyFont="1" applyFill="1" applyBorder="1"/>
    <xf numFmtId="0" fontId="26" fillId="0" borderId="18" xfId="0" applyFont="1" applyFill="1" applyBorder="1"/>
    <xf numFmtId="4" fontId="1" fillId="0" borderId="0" xfId="0" applyNumberFormat="1" applyFont="1"/>
    <xf numFmtId="0" fontId="0" fillId="0" borderId="42" xfId="0" applyBorder="1" applyAlignment="1">
      <alignment wrapText="1"/>
    </xf>
    <xf numFmtId="0" fontId="28" fillId="11" borderId="50" xfId="0" applyFont="1" applyFill="1" applyBorder="1" applyAlignment="1">
      <alignment horizontal="center" wrapText="1"/>
    </xf>
    <xf numFmtId="0" fontId="51" fillId="0" borderId="0" xfId="0" applyFont="1" applyAlignment="1"/>
    <xf numFmtId="0" fontId="52" fillId="0" borderId="0" xfId="0" applyFont="1" applyAlignment="1"/>
    <xf numFmtId="0" fontId="0" fillId="0" borderId="100" xfId="0" applyBorder="1"/>
    <xf numFmtId="0" fontId="0" fillId="0" borderId="42" xfId="0" applyBorder="1"/>
    <xf numFmtId="0" fontId="0" fillId="0" borderId="93" xfId="0" applyBorder="1"/>
    <xf numFmtId="0" fontId="28" fillId="11" borderId="123" xfId="0" applyFont="1" applyFill="1" applyBorder="1" applyAlignment="1">
      <alignment horizontal="center" wrapText="1"/>
    </xf>
    <xf numFmtId="0" fontId="0" fillId="0" borderId="0" xfId="0" applyAlignment="1">
      <alignment vertical="center" wrapText="1"/>
    </xf>
    <xf numFmtId="0" fontId="5" fillId="2" borderId="169" xfId="0" applyFont="1" applyFill="1" applyBorder="1" applyAlignment="1">
      <alignment horizontal="centerContinuous"/>
    </xf>
    <xf numFmtId="0" fontId="0" fillId="2" borderId="170" xfId="0" applyFill="1" applyBorder="1" applyAlignment="1">
      <alignment horizontal="centerContinuous"/>
    </xf>
    <xf numFmtId="0" fontId="12" fillId="3" borderId="172" xfId="0" applyFont="1" applyFill="1" applyBorder="1" applyAlignment="1">
      <alignment wrapText="1"/>
    </xf>
    <xf numFmtId="0" fontId="12" fillId="3" borderId="173" xfId="0" applyFont="1" applyFill="1" applyBorder="1" applyAlignment="1">
      <alignment wrapText="1"/>
    </xf>
    <xf numFmtId="0" fontId="0" fillId="0" borderId="19" xfId="0" applyBorder="1" applyAlignment="1">
      <alignment horizontal="right"/>
    </xf>
    <xf numFmtId="0" fontId="29" fillId="6" borderId="175" xfId="0" applyFont="1" applyFill="1" applyBorder="1" applyAlignment="1">
      <alignment horizontal="centerContinuous" wrapText="1"/>
    </xf>
    <xf numFmtId="0" fontId="28" fillId="6" borderId="176" xfId="0" applyFont="1" applyFill="1" applyBorder="1" applyAlignment="1">
      <alignment horizontal="centerContinuous" wrapText="1"/>
    </xf>
    <xf numFmtId="0" fontId="28" fillId="6" borderId="177" xfId="0" applyFont="1" applyFill="1" applyBorder="1" applyAlignment="1">
      <alignment horizontal="centerContinuous" wrapText="1"/>
    </xf>
    <xf numFmtId="0" fontId="12" fillId="6" borderId="178" xfId="0" applyFont="1" applyFill="1" applyBorder="1"/>
    <xf numFmtId="0" fontId="12" fillId="6" borderId="179" xfId="0" applyFont="1" applyFill="1" applyBorder="1" applyAlignment="1">
      <alignment horizontal="center" wrapText="1"/>
    </xf>
    <xf numFmtId="0" fontId="12" fillId="9" borderId="178" xfId="0" applyFont="1" applyFill="1" applyBorder="1" applyAlignment="1">
      <alignment wrapText="1"/>
    </xf>
    <xf numFmtId="0" fontId="36" fillId="9" borderId="179" xfId="0" applyFont="1" applyFill="1" applyBorder="1" applyAlignment="1">
      <alignment horizontal="center" wrapText="1"/>
    </xf>
    <xf numFmtId="0" fontId="29" fillId="11" borderId="176" xfId="0" applyFont="1" applyFill="1" applyBorder="1" applyAlignment="1">
      <alignment horizontal="centerContinuous" wrapText="1"/>
    </xf>
    <xf numFmtId="0" fontId="29" fillId="11" borderId="177" xfId="0" applyFont="1" applyFill="1" applyBorder="1" applyAlignment="1">
      <alignment horizontal="centerContinuous" wrapText="1"/>
    </xf>
    <xf numFmtId="0" fontId="28" fillId="11" borderId="181" xfId="0" applyFont="1" applyFill="1" applyBorder="1" applyAlignment="1">
      <alignment horizontal="center" wrapText="1"/>
    </xf>
    <xf numFmtId="0" fontId="28" fillId="11" borderId="176" xfId="0" applyFont="1" applyFill="1" applyBorder="1" applyAlignment="1">
      <alignment horizontal="centerContinuous" wrapText="1"/>
    </xf>
    <xf numFmtId="0" fontId="15" fillId="0" borderId="0" xfId="0" applyFont="1" applyBorder="1" applyAlignment="1">
      <alignment horizontal="left" vertical="center" wrapText="1"/>
    </xf>
    <xf numFmtId="0" fontId="34" fillId="0" borderId="0" xfId="0" applyFont="1" applyFill="1" applyBorder="1" applyAlignment="1">
      <alignment horizontal="right"/>
    </xf>
    <xf numFmtId="0" fontId="34" fillId="0" borderId="0" xfId="0" applyFont="1" applyFill="1" applyBorder="1"/>
    <xf numFmtId="0" fontId="28" fillId="12" borderId="182" xfId="0" applyFont="1" applyFill="1" applyBorder="1" applyAlignment="1">
      <alignment horizontal="centerContinuous" wrapText="1"/>
    </xf>
    <xf numFmtId="0" fontId="28" fillId="12" borderId="183" xfId="0" applyFont="1" applyFill="1" applyBorder="1" applyAlignment="1">
      <alignment horizontal="centerContinuous" wrapText="1"/>
    </xf>
    <xf numFmtId="0" fontId="28" fillId="12" borderId="184" xfId="0" applyFont="1" applyFill="1" applyBorder="1" applyAlignment="1">
      <alignment horizontal="centerContinuous" wrapText="1"/>
    </xf>
    <xf numFmtId="0" fontId="0" fillId="31" borderId="20" xfId="0" applyFill="1" applyBorder="1"/>
    <xf numFmtId="0" fontId="0" fillId="31" borderId="21" xfId="0" applyFill="1" applyBorder="1"/>
    <xf numFmtId="0" fontId="0" fillId="31" borderId="21" xfId="0" applyFont="1" applyFill="1" applyBorder="1"/>
    <xf numFmtId="0" fontId="0" fillId="31" borderId="19" xfId="0" applyFont="1" applyFill="1" applyBorder="1"/>
    <xf numFmtId="0" fontId="0" fillId="31" borderId="20" xfId="0" applyFont="1" applyFill="1" applyBorder="1"/>
    <xf numFmtId="0" fontId="28" fillId="12" borderId="176" xfId="0" applyFont="1" applyFill="1" applyBorder="1" applyAlignment="1">
      <alignment horizontal="centerContinuous" wrapText="1"/>
    </xf>
    <xf numFmtId="0" fontId="28" fillId="12" borderId="187" xfId="0" applyFont="1" applyFill="1" applyBorder="1" applyAlignment="1">
      <alignment horizontal="centerContinuous" wrapText="1"/>
    </xf>
    <xf numFmtId="0" fontId="28" fillId="12" borderId="177" xfId="0" applyFont="1" applyFill="1" applyBorder="1" applyAlignment="1">
      <alignment horizontal="centerContinuous" wrapText="1"/>
    </xf>
    <xf numFmtId="0" fontId="0" fillId="7" borderId="188" xfId="0" applyFont="1" applyFill="1" applyBorder="1"/>
    <xf numFmtId="0" fontId="34" fillId="12" borderId="189" xfId="0" applyFont="1" applyFill="1" applyBorder="1" applyAlignment="1">
      <alignment horizontal="right"/>
    </xf>
    <xf numFmtId="0" fontId="0" fillId="12" borderId="176" xfId="0" applyFont="1" applyFill="1" applyBorder="1" applyAlignment="1">
      <alignment wrapText="1"/>
    </xf>
    <xf numFmtId="0" fontId="0" fillId="0" borderId="173" xfId="0" applyBorder="1"/>
    <xf numFmtId="0" fontId="34" fillId="4" borderId="190" xfId="0" applyFont="1" applyFill="1" applyBorder="1"/>
    <xf numFmtId="0" fontId="34" fillId="8" borderId="190" xfId="0" applyFont="1" applyFill="1" applyBorder="1"/>
    <xf numFmtId="0" fontId="28" fillId="13" borderId="176" xfId="0" applyFont="1" applyFill="1" applyBorder="1" applyAlignment="1">
      <alignment horizontal="centerContinuous" wrapText="1"/>
    </xf>
    <xf numFmtId="0" fontId="28" fillId="13" borderId="187" xfId="0" applyFont="1" applyFill="1" applyBorder="1" applyAlignment="1">
      <alignment horizontal="centerContinuous" wrapText="1"/>
    </xf>
    <xf numFmtId="0" fontId="12" fillId="14" borderId="178" xfId="0" applyFont="1" applyFill="1" applyBorder="1" applyAlignment="1">
      <alignment wrapText="1"/>
    </xf>
    <xf numFmtId="0" fontId="15" fillId="14" borderId="176" xfId="0" applyFont="1" applyFill="1" applyBorder="1" applyAlignment="1">
      <alignment wrapText="1"/>
    </xf>
    <xf numFmtId="0" fontId="12" fillId="11" borderId="178" xfId="0" applyFont="1" applyFill="1" applyBorder="1" applyAlignment="1">
      <alignment horizontal="left" vertical="center" wrapText="1"/>
    </xf>
    <xf numFmtId="4" fontId="3" fillId="0" borderId="0" xfId="0" applyNumberFormat="1" applyFont="1"/>
    <xf numFmtId="0" fontId="160" fillId="0" borderId="21" xfId="0" applyFont="1" applyBorder="1"/>
    <xf numFmtId="0" fontId="160" fillId="0" borderId="24" xfId="0" applyFont="1" applyBorder="1"/>
    <xf numFmtId="0" fontId="161" fillId="0" borderId="0" xfId="0" applyFont="1"/>
    <xf numFmtId="0" fontId="14" fillId="0" borderId="24" xfId="0" applyFont="1" applyBorder="1"/>
    <xf numFmtId="0" fontId="0" fillId="32" borderId="191" xfId="0" applyFont="1" applyFill="1" applyBorder="1" applyAlignment="1">
      <alignment wrapText="1"/>
    </xf>
    <xf numFmtId="4" fontId="13" fillId="15" borderId="29" xfId="0" applyNumberFormat="1" applyFont="1" applyFill="1" applyBorder="1" applyAlignment="1">
      <alignment horizontal="right"/>
    </xf>
    <xf numFmtId="0" fontId="5" fillId="2" borderId="192" xfId="0" applyFont="1" applyFill="1" applyBorder="1" applyAlignment="1">
      <alignment horizontal="centerContinuous"/>
    </xf>
    <xf numFmtId="0" fontId="0" fillId="2" borderId="193" xfId="0" applyFill="1" applyBorder="1" applyAlignment="1">
      <alignment horizontal="centerContinuous"/>
    </xf>
    <xf numFmtId="0" fontId="12" fillId="3" borderId="178" xfId="0" applyFont="1" applyFill="1" applyBorder="1" applyAlignment="1">
      <alignment wrapText="1"/>
    </xf>
    <xf numFmtId="0" fontId="12" fillId="3" borderId="179" xfId="0" applyFont="1" applyFill="1" applyBorder="1" applyAlignment="1">
      <alignment wrapText="1"/>
    </xf>
    <xf numFmtId="0" fontId="0" fillId="15" borderId="22" xfId="0" applyFill="1" applyBorder="1"/>
    <xf numFmtId="0" fontId="0" fillId="0" borderId="23" xfId="0" applyFill="1" applyBorder="1"/>
    <xf numFmtId="4" fontId="0" fillId="0" borderId="20" xfId="0" applyNumberFormat="1" applyBorder="1"/>
    <xf numFmtId="4" fontId="0" fillId="0" borderId="19" xfId="0" applyNumberFormat="1" applyBorder="1"/>
    <xf numFmtId="4" fontId="0" fillId="0" borderId="19" xfId="0" applyNumberFormat="1" applyFill="1" applyBorder="1"/>
    <xf numFmtId="0" fontId="26" fillId="0" borderId="19" xfId="0" applyFont="1" applyFill="1" applyBorder="1"/>
    <xf numFmtId="4" fontId="0" fillId="0" borderId="20" xfId="0" applyNumberFormat="1" applyFill="1" applyBorder="1"/>
    <xf numFmtId="0" fontId="15" fillId="0" borderId="188" xfId="0" applyFont="1" applyFill="1" applyBorder="1" applyAlignment="1">
      <alignment horizontal="left" vertical="center" wrapText="1"/>
    </xf>
    <xf numFmtId="0" fontId="26" fillId="0" borderId="19" xfId="0" applyFont="1" applyFill="1" applyBorder="1" applyAlignment="1">
      <alignment horizontal="right"/>
    </xf>
    <xf numFmtId="0" fontId="0" fillId="0" borderId="20" xfId="0" applyFill="1" applyBorder="1" applyAlignment="1">
      <alignment horizontal="right"/>
    </xf>
    <xf numFmtId="0" fontId="33" fillId="0" borderId="21" xfId="0" applyFont="1" applyFill="1" applyBorder="1"/>
    <xf numFmtId="0" fontId="34" fillId="8" borderId="94" xfId="0" applyFont="1" applyFill="1" applyBorder="1" applyAlignment="1"/>
    <xf numFmtId="0" fontId="0" fillId="8" borderId="196" xfId="0" applyFont="1" applyFill="1" applyBorder="1" applyAlignment="1"/>
    <xf numFmtId="0" fontId="0" fillId="8" borderId="197" xfId="0" applyFill="1" applyBorder="1" applyAlignment="1"/>
    <xf numFmtId="0" fontId="0" fillId="8" borderId="78" xfId="0" applyFill="1" applyBorder="1" applyAlignment="1"/>
    <xf numFmtId="0" fontId="0" fillId="8" borderId="97" xfId="0" applyFill="1" applyBorder="1" applyAlignment="1"/>
    <xf numFmtId="0" fontId="0" fillId="0" borderId="56" xfId="0" applyFont="1" applyFill="1" applyBorder="1"/>
    <xf numFmtId="0" fontId="0" fillId="0" borderId="21" xfId="0" applyFont="1" applyFill="1" applyBorder="1"/>
    <xf numFmtId="0" fontId="0" fillId="0" borderId="64" xfId="0" applyFont="1" applyFill="1" applyBorder="1"/>
    <xf numFmtId="0" fontId="0" fillId="0" borderId="19" xfId="0" applyFont="1" applyFill="1" applyBorder="1"/>
    <xf numFmtId="0" fontId="0" fillId="0" borderId="20" xfId="0" applyFont="1" applyFill="1" applyBorder="1"/>
    <xf numFmtId="0" fontId="33" fillId="0" borderId="64" xfId="0" applyFont="1" applyFill="1" applyBorder="1"/>
    <xf numFmtId="0" fontId="34" fillId="0" borderId="20" xfId="0" applyFont="1" applyFill="1" applyBorder="1" applyAlignment="1">
      <alignment horizontal="right"/>
    </xf>
    <xf numFmtId="0" fontId="12" fillId="14" borderId="179" xfId="0" applyFont="1" applyFill="1" applyBorder="1" applyAlignment="1">
      <alignment horizontal="center" wrapText="1"/>
    </xf>
    <xf numFmtId="0" fontId="0" fillId="0" borderId="90" xfId="0" applyFill="1" applyBorder="1"/>
    <xf numFmtId="0" fontId="0" fillId="0" borderId="91" xfId="0" applyFill="1" applyBorder="1"/>
    <xf numFmtId="0" fontId="0" fillId="0" borderId="92" xfId="0" applyFill="1" applyBorder="1"/>
    <xf numFmtId="4" fontId="26" fillId="0" borderId="21" xfId="0" applyNumberFormat="1" applyFont="1" applyFill="1" applyBorder="1" applyAlignment="1">
      <alignment vertical="center"/>
    </xf>
    <xf numFmtId="0" fontId="12" fillId="6" borderId="179" xfId="0" applyFont="1" applyFill="1" applyBorder="1" applyAlignment="1">
      <alignment wrapText="1"/>
    </xf>
    <xf numFmtId="2" fontId="13" fillId="5" borderId="29" xfId="0" applyNumberFormat="1" applyFont="1" applyFill="1" applyBorder="1" applyAlignment="1">
      <alignment horizontal="right"/>
    </xf>
    <xf numFmtId="0" fontId="55" fillId="4" borderId="19" xfId="0" applyFont="1" applyFill="1" applyBorder="1"/>
    <xf numFmtId="0" fontId="56" fillId="4" borderId="21" xfId="0" applyFont="1" applyFill="1" applyBorder="1"/>
    <xf numFmtId="0" fontId="56" fillId="4" borderId="24" xfId="0" applyFont="1" applyFill="1" applyBorder="1"/>
    <xf numFmtId="0" fontId="56" fillId="2" borderId="24" xfId="0" applyFont="1" applyFill="1" applyBorder="1"/>
    <xf numFmtId="0" fontId="55" fillId="0" borderId="19" xfId="0" applyFont="1" applyFill="1" applyBorder="1"/>
    <xf numFmtId="0" fontId="68" fillId="5" borderId="27" xfId="0" applyFont="1" applyFill="1" applyBorder="1" applyAlignment="1">
      <alignment horizontal="right"/>
    </xf>
    <xf numFmtId="0" fontId="55" fillId="5" borderId="28" xfId="0" applyFont="1" applyFill="1" applyBorder="1"/>
    <xf numFmtId="0" fontId="55" fillId="5" borderId="29" xfId="0" applyFont="1" applyFill="1" applyBorder="1"/>
    <xf numFmtId="0" fontId="55" fillId="5" borderId="30" xfId="0" applyFont="1" applyFill="1" applyBorder="1"/>
    <xf numFmtId="0" fontId="55" fillId="5" borderId="31" xfId="0" applyFont="1" applyFill="1" applyBorder="1"/>
    <xf numFmtId="0" fontId="55" fillId="5" borderId="32" xfId="0" applyFont="1" applyFill="1" applyBorder="1"/>
    <xf numFmtId="0" fontId="56" fillId="4" borderId="23" xfId="0" applyFont="1" applyFill="1" applyBorder="1"/>
    <xf numFmtId="0" fontId="55" fillId="5" borderId="24" xfId="0" applyFont="1" applyFill="1" applyBorder="1"/>
    <xf numFmtId="0" fontId="56" fillId="4" borderId="20" xfId="0" applyFont="1" applyFill="1" applyBorder="1"/>
    <xf numFmtId="0" fontId="56" fillId="4" borderId="19" xfId="0" applyFont="1" applyFill="1" applyBorder="1"/>
    <xf numFmtId="0" fontId="56" fillId="0" borderId="19" xfId="0" applyFont="1" applyBorder="1"/>
    <xf numFmtId="0" fontId="55" fillId="0" borderId="108" xfId="0" applyFont="1" applyBorder="1"/>
    <xf numFmtId="0" fontId="33" fillId="4" borderId="108" xfId="0" applyFont="1" applyFill="1" applyBorder="1"/>
    <xf numFmtId="0" fontId="56" fillId="4" borderId="52" xfId="0" applyFont="1" applyFill="1" applyBorder="1"/>
    <xf numFmtId="0" fontId="56" fillId="4" borderId="49" xfId="0" applyFont="1" applyFill="1" applyBorder="1"/>
    <xf numFmtId="0" fontId="33" fillId="0" borderId="108" xfId="0" applyFont="1" applyBorder="1"/>
    <xf numFmtId="0" fontId="56" fillId="0" borderId="56" xfId="0" applyFont="1" applyBorder="1"/>
    <xf numFmtId="0" fontId="34" fillId="8" borderId="110" xfId="0" applyFont="1" applyFill="1" applyBorder="1" applyAlignment="1">
      <alignment horizontal="right"/>
    </xf>
    <xf numFmtId="0" fontId="67" fillId="4" borderId="21" xfId="0" applyFont="1" applyFill="1" applyBorder="1"/>
    <xf numFmtId="0" fontId="55" fillId="8" borderId="61" xfId="0" applyFont="1" applyFill="1" applyBorder="1"/>
    <xf numFmtId="0" fontId="55" fillId="4" borderId="53" xfId="0" applyFont="1" applyFill="1" applyBorder="1"/>
    <xf numFmtId="0" fontId="55" fillId="4" borderId="49" xfId="0" applyFont="1" applyFill="1" applyBorder="1"/>
    <xf numFmtId="0" fontId="55" fillId="4" borderId="54" xfId="0" applyFont="1" applyFill="1" applyBorder="1"/>
    <xf numFmtId="0" fontId="55" fillId="8" borderId="29" xfId="0" applyFont="1" applyFill="1" applyBorder="1" applyAlignment="1">
      <alignment horizontal="right"/>
    </xf>
    <xf numFmtId="0" fontId="68" fillId="8" borderId="30" xfId="0" applyFont="1" applyFill="1" applyBorder="1" applyAlignment="1">
      <alignment horizontal="right"/>
    </xf>
    <xf numFmtId="0" fontId="68" fillId="8" borderId="32" xfId="0" applyFont="1" applyFill="1" applyBorder="1" applyAlignment="1">
      <alignment horizontal="right"/>
    </xf>
    <xf numFmtId="0" fontId="55" fillId="8" borderId="28" xfId="0" applyFont="1" applyFill="1" applyBorder="1"/>
    <xf numFmtId="0" fontId="55" fillId="8" borderId="29" xfId="0" applyFont="1" applyFill="1" applyBorder="1"/>
    <xf numFmtId="0" fontId="55" fillId="8" borderId="33" xfId="0" applyFont="1" applyFill="1" applyBorder="1"/>
    <xf numFmtId="0" fontId="39" fillId="0" borderId="18" xfId="0" applyFont="1" applyBorder="1" applyAlignment="1">
      <alignment vertical="center" wrapText="1"/>
    </xf>
    <xf numFmtId="168" fontId="67" fillId="0" borderId="21" xfId="0" applyNumberFormat="1" applyFont="1" applyBorder="1"/>
    <xf numFmtId="0" fontId="155" fillId="0" borderId="24" xfId="0" applyFont="1" applyBorder="1"/>
    <xf numFmtId="168" fontId="67" fillId="0" borderId="21" xfId="0" applyNumberFormat="1" applyFont="1" applyBorder="1" applyAlignment="1"/>
    <xf numFmtId="168" fontId="155" fillId="0" borderId="21" xfId="0" applyNumberFormat="1" applyFont="1" applyBorder="1" applyAlignment="1"/>
    <xf numFmtId="0" fontId="39" fillId="0" borderId="26" xfId="0" applyFont="1" applyBorder="1" applyAlignment="1">
      <alignment vertical="center" wrapText="1"/>
    </xf>
    <xf numFmtId="168" fontId="68" fillId="5" borderId="29" xfId="0" applyNumberFormat="1" applyFont="1" applyFill="1" applyBorder="1" applyAlignment="1">
      <alignment horizontal="right"/>
    </xf>
    <xf numFmtId="0" fontId="12" fillId="3" borderId="200" xfId="0" applyFont="1" applyFill="1" applyBorder="1" applyAlignment="1">
      <alignment wrapText="1"/>
    </xf>
    <xf numFmtId="0" fontId="12" fillId="3" borderId="201" xfId="0" applyFont="1" applyFill="1" applyBorder="1" applyAlignment="1">
      <alignment wrapText="1"/>
    </xf>
    <xf numFmtId="0" fontId="12" fillId="3" borderId="203" xfId="0" applyFont="1" applyFill="1" applyBorder="1" applyAlignment="1">
      <alignment wrapText="1"/>
    </xf>
    <xf numFmtId="0" fontId="12" fillId="6" borderId="200" xfId="0" applyFont="1" applyFill="1" applyBorder="1"/>
    <xf numFmtId="0" fontId="12" fillId="6" borderId="201" xfId="0" applyFont="1" applyFill="1" applyBorder="1" applyAlignment="1">
      <alignment horizontal="center" wrapText="1"/>
    </xf>
    <xf numFmtId="0" fontId="15" fillId="0" borderId="205" xfId="0" applyFont="1" applyFill="1" applyBorder="1" applyAlignment="1">
      <alignment horizontal="left" vertical="center" wrapText="1"/>
    </xf>
    <xf numFmtId="0" fontId="12" fillId="6" borderId="201" xfId="0" applyFont="1" applyFill="1" applyBorder="1" applyAlignment="1">
      <alignment wrapText="1"/>
    </xf>
    <xf numFmtId="0" fontId="28" fillId="6" borderId="202" xfId="0" applyFont="1" applyFill="1" applyBorder="1" applyAlignment="1">
      <alignment horizontal="centerContinuous" wrapText="1"/>
    </xf>
    <xf numFmtId="0" fontId="28" fillId="6" borderId="204" xfId="0" applyFont="1" applyFill="1" applyBorder="1" applyAlignment="1">
      <alignment horizontal="centerContinuous" wrapText="1"/>
    </xf>
    <xf numFmtId="0" fontId="33" fillId="4" borderId="19" xfId="0" applyFont="1" applyFill="1" applyBorder="1" applyAlignment="1">
      <alignment vertical="top"/>
    </xf>
    <xf numFmtId="0" fontId="12" fillId="9" borderId="200" xfId="0" applyFont="1" applyFill="1" applyBorder="1" applyAlignment="1">
      <alignment wrapText="1"/>
    </xf>
    <xf numFmtId="0" fontId="36" fillId="9" borderId="201" xfId="0" applyFont="1" applyFill="1" applyBorder="1" applyAlignment="1">
      <alignment horizontal="center" wrapText="1"/>
    </xf>
    <xf numFmtId="0" fontId="29" fillId="11" borderId="202" xfId="0" applyFont="1" applyFill="1" applyBorder="1" applyAlignment="1">
      <alignment horizontal="centerContinuous" wrapText="1"/>
    </xf>
    <xf numFmtId="0" fontId="29" fillId="11" borderId="204" xfId="0" applyFont="1" applyFill="1" applyBorder="1" applyAlignment="1">
      <alignment horizontal="centerContinuous" wrapText="1"/>
    </xf>
    <xf numFmtId="0" fontId="28" fillId="11" borderId="207" xfId="0" applyFont="1" applyFill="1" applyBorder="1" applyAlignment="1">
      <alignment horizontal="center" wrapText="1"/>
    </xf>
    <xf numFmtId="0" fontId="28" fillId="11" borderId="202" xfId="0" applyFont="1" applyFill="1" applyBorder="1" applyAlignment="1">
      <alignment horizontal="centerContinuous" wrapText="1"/>
    </xf>
    <xf numFmtId="0" fontId="28" fillId="12" borderId="208" xfId="0" applyFont="1" applyFill="1" applyBorder="1" applyAlignment="1">
      <alignment horizontal="centerContinuous" wrapText="1"/>
    </xf>
    <xf numFmtId="0" fontId="28" fillId="12" borderId="209" xfId="0" applyFont="1" applyFill="1" applyBorder="1" applyAlignment="1">
      <alignment horizontal="centerContinuous" wrapText="1"/>
    </xf>
    <xf numFmtId="0" fontId="28" fillId="12" borderId="210" xfId="0" applyFont="1" applyFill="1" applyBorder="1" applyAlignment="1">
      <alignment horizontal="centerContinuous" wrapText="1"/>
    </xf>
    <xf numFmtId="0" fontId="28" fillId="12" borderId="202" xfId="0" applyFont="1" applyFill="1" applyBorder="1" applyAlignment="1">
      <alignment horizontal="centerContinuous" wrapText="1"/>
    </xf>
    <xf numFmtId="0" fontId="28" fillId="12" borderId="213" xfId="0" applyFont="1" applyFill="1" applyBorder="1" applyAlignment="1">
      <alignment horizontal="centerContinuous" wrapText="1"/>
    </xf>
    <xf numFmtId="0" fontId="28" fillId="12" borderId="204" xfId="0" applyFont="1" applyFill="1" applyBorder="1" applyAlignment="1">
      <alignment horizontal="centerContinuous" wrapText="1"/>
    </xf>
    <xf numFmtId="0" fontId="0" fillId="7" borderId="205" xfId="0" applyFont="1" applyFill="1" applyBorder="1"/>
    <xf numFmtId="0" fontId="0" fillId="12" borderId="202" xfId="0" applyFont="1" applyFill="1" applyBorder="1" applyAlignment="1">
      <alignment wrapText="1"/>
    </xf>
    <xf numFmtId="0" fontId="34" fillId="4" borderId="214" xfId="0" applyFont="1" applyFill="1" applyBorder="1"/>
    <xf numFmtId="0" fontId="34" fillId="8" borderId="214" xfId="0" applyFont="1" applyFill="1" applyBorder="1"/>
    <xf numFmtId="0" fontId="28" fillId="13" borderId="202" xfId="0" applyFont="1" applyFill="1" applyBorder="1" applyAlignment="1">
      <alignment horizontal="centerContinuous" wrapText="1"/>
    </xf>
    <xf numFmtId="0" fontId="28" fillId="13" borderId="213" xfId="0" applyFont="1" applyFill="1" applyBorder="1" applyAlignment="1">
      <alignment horizontal="centerContinuous" wrapText="1"/>
    </xf>
    <xf numFmtId="0" fontId="12" fillId="14" borderId="200" xfId="0" applyFont="1" applyFill="1" applyBorder="1" applyAlignment="1">
      <alignment wrapText="1"/>
    </xf>
    <xf numFmtId="0" fontId="15" fillId="14" borderId="202" xfId="0" applyFont="1" applyFill="1" applyBorder="1" applyAlignment="1">
      <alignment wrapText="1"/>
    </xf>
    <xf numFmtId="0" fontId="12" fillId="11" borderId="200" xfId="0" applyFont="1" applyFill="1" applyBorder="1" applyAlignment="1">
      <alignment horizontal="left" vertical="center" wrapText="1"/>
    </xf>
    <xf numFmtId="0" fontId="26" fillId="31" borderId="21" xfId="0" applyFont="1" applyFill="1" applyBorder="1"/>
    <xf numFmtId="0" fontId="0" fillId="0" borderId="20" xfId="0" applyNumberFormat="1" applyBorder="1"/>
    <xf numFmtId="0" fontId="10" fillId="3" borderId="17" xfId="0" applyFont="1" applyFill="1" applyBorder="1" applyAlignment="1">
      <alignment wrapText="1"/>
    </xf>
    <xf numFmtId="0" fontId="10" fillId="3" borderId="18" xfId="0" applyFont="1" applyFill="1" applyBorder="1" applyAlignment="1">
      <alignment horizontal="center" wrapText="1"/>
    </xf>
    <xf numFmtId="0" fontId="8" fillId="3" borderId="19" xfId="0" applyFont="1" applyFill="1" applyBorder="1" applyAlignment="1">
      <alignment wrapText="1"/>
    </xf>
    <xf numFmtId="0" fontId="8" fillId="3" borderId="20" xfId="0" applyFont="1" applyFill="1" applyBorder="1" applyAlignment="1">
      <alignment horizontal="center" wrapText="1"/>
    </xf>
    <xf numFmtId="0" fontId="8" fillId="3" borderId="21" xfId="0" applyFont="1" applyFill="1" applyBorder="1" applyAlignment="1">
      <alignment horizontal="center" wrapText="1"/>
    </xf>
    <xf numFmtId="0" fontId="10" fillId="3" borderId="22" xfId="0" applyFont="1" applyFill="1" applyBorder="1" applyAlignment="1">
      <alignment horizontal="center" wrapText="1"/>
    </xf>
    <xf numFmtId="0" fontId="162" fillId="3" borderId="23" xfId="0" applyFont="1" applyFill="1" applyBorder="1" applyAlignment="1">
      <alignment wrapText="1"/>
    </xf>
    <xf numFmtId="0" fontId="8" fillId="3" borderId="21" xfId="0" applyFont="1" applyFill="1" applyBorder="1" applyAlignment="1">
      <alignment wrapText="1"/>
    </xf>
    <xf numFmtId="0" fontId="162" fillId="3" borderId="21" xfId="0" applyFont="1" applyFill="1" applyBorder="1" applyAlignment="1">
      <alignment wrapText="1"/>
    </xf>
    <xf numFmtId="0" fontId="8" fillId="3" borderId="24" xfId="0" applyFont="1" applyFill="1" applyBorder="1" applyAlignment="1">
      <alignment wrapText="1"/>
    </xf>
    <xf numFmtId="0" fontId="34" fillId="11" borderId="48" xfId="0" applyFont="1" applyFill="1" applyBorder="1" applyAlignment="1">
      <alignment horizontal="centerContinuous" wrapText="1"/>
    </xf>
    <xf numFmtId="0" fontId="34" fillId="11" borderId="117" xfId="0" applyFont="1" applyFill="1" applyBorder="1" applyAlignment="1">
      <alignment horizontal="centerContinuous" wrapText="1"/>
    </xf>
    <xf numFmtId="0" fontId="34" fillId="11" borderId="120" xfId="0" applyFont="1" applyFill="1" applyBorder="1" applyAlignment="1">
      <alignment horizontal="centerContinuous" wrapText="1"/>
    </xf>
    <xf numFmtId="0" fontId="0" fillId="11" borderId="20" xfId="0" applyFont="1" applyFill="1" applyBorder="1" applyAlignment="1">
      <alignment wrapText="1"/>
    </xf>
    <xf numFmtId="0" fontId="0" fillId="11" borderId="21" xfId="0" applyFont="1" applyFill="1" applyBorder="1" applyAlignment="1">
      <alignment wrapText="1"/>
    </xf>
    <xf numFmtId="0" fontId="163" fillId="11" borderId="52" xfId="0" applyFont="1" applyFill="1" applyBorder="1" applyAlignment="1">
      <alignment wrapText="1"/>
    </xf>
    <xf numFmtId="0" fontId="0" fillId="11" borderId="49" xfId="0" applyFont="1" applyFill="1" applyBorder="1" applyAlignment="1">
      <alignment wrapText="1"/>
    </xf>
    <xf numFmtId="0" fontId="0" fillId="11" borderId="53" xfId="0" applyFont="1" applyFill="1" applyBorder="1" applyAlignment="1">
      <alignment wrapText="1"/>
    </xf>
    <xf numFmtId="0" fontId="163" fillId="11" borderId="53" xfId="0" applyFont="1" applyFill="1" applyBorder="1" applyAlignment="1">
      <alignment wrapText="1"/>
    </xf>
    <xf numFmtId="0" fontId="0" fillId="11" borderId="54" xfId="0" applyFont="1" applyFill="1" applyBorder="1" applyAlignment="1">
      <alignment wrapText="1"/>
    </xf>
    <xf numFmtId="2" fontId="26" fillId="0" borderId="21" xfId="0" applyNumberFormat="1" applyFont="1" applyBorder="1"/>
    <xf numFmtId="0" fontId="13" fillId="5" borderId="55" xfId="0" applyFont="1" applyFill="1" applyBorder="1" applyAlignment="1">
      <alignment horizontal="right"/>
    </xf>
    <xf numFmtId="0" fontId="0" fillId="8" borderId="0" xfId="0" applyFill="1" applyBorder="1"/>
    <xf numFmtId="164" fontId="26" fillId="0" borderId="21" xfId="0" applyNumberFormat="1" applyFont="1" applyBorder="1"/>
    <xf numFmtId="164" fontId="13" fillId="5" borderId="29" xfId="0" applyNumberFormat="1" applyFont="1" applyFill="1" applyBorder="1" applyAlignment="1">
      <alignment horizontal="right"/>
    </xf>
    <xf numFmtId="164" fontId="0" fillId="0" borderId="0" xfId="0" applyNumberFormat="1"/>
    <xf numFmtId="0" fontId="12" fillId="3" borderId="215" xfId="0" applyFont="1" applyFill="1" applyBorder="1" applyAlignment="1">
      <alignment wrapText="1"/>
    </xf>
    <xf numFmtId="3" fontId="33" fillId="0" borderId="21" xfId="0" applyNumberFormat="1" applyFont="1" applyBorder="1"/>
    <xf numFmtId="3" fontId="0" fillId="0" borderId="56" xfId="0" applyNumberFormat="1" applyBorder="1"/>
    <xf numFmtId="0" fontId="0" fillId="0" borderId="215" xfId="0" applyBorder="1"/>
    <xf numFmtId="4" fontId="0" fillId="0" borderId="21" xfId="0" applyNumberFormat="1" applyBorder="1"/>
    <xf numFmtId="0" fontId="56" fillId="7" borderId="135" xfId="0" applyFont="1" applyFill="1" applyBorder="1"/>
    <xf numFmtId="0" fontId="56" fillId="7" borderId="216" xfId="0" applyFont="1" applyFill="1" applyBorder="1"/>
    <xf numFmtId="0" fontId="56" fillId="7" borderId="141" xfId="0" applyFont="1" applyFill="1" applyBorder="1"/>
    <xf numFmtId="0" fontId="0" fillId="2" borderId="19" xfId="0" applyFill="1" applyBorder="1"/>
    <xf numFmtId="0" fontId="179" fillId="0" borderId="0" xfId="0" applyFont="1" applyBorder="1"/>
    <xf numFmtId="0" fontId="28" fillId="6" borderId="129" xfId="0" applyFont="1" applyFill="1" applyBorder="1" applyAlignment="1">
      <alignment horizontal="centerContinuous" wrapText="1"/>
    </xf>
    <xf numFmtId="0" fontId="28" fillId="6" borderId="50" xfId="0" applyFont="1" applyFill="1" applyBorder="1" applyAlignment="1">
      <alignment wrapText="1"/>
    </xf>
    <xf numFmtId="0" fontId="26" fillId="0" borderId="24" xfId="0" applyFont="1" applyBorder="1" applyAlignment="1">
      <alignment horizontal="center" vertical="center"/>
    </xf>
    <xf numFmtId="0" fontId="0" fillId="0" borderId="0" xfId="0" applyBorder="1" applyAlignment="1">
      <alignment horizontal="center" vertical="center"/>
    </xf>
    <xf numFmtId="0" fontId="0" fillId="7" borderId="0" xfId="0" applyFill="1" applyAlignment="1">
      <alignment horizontal="left" vertical="center"/>
    </xf>
    <xf numFmtId="0" fontId="36" fillId="0" borderId="0" xfId="0" applyFont="1"/>
    <xf numFmtId="168" fontId="26" fillId="0" borderId="21" xfId="0" applyNumberFormat="1" applyFont="1" applyBorder="1"/>
    <xf numFmtId="0" fontId="28" fillId="11" borderId="50" xfId="0" applyFont="1" applyFill="1" applyBorder="1" applyAlignment="1">
      <alignment horizontal="center" wrapText="1"/>
    </xf>
    <xf numFmtId="0" fontId="0" fillId="0" borderId="42" xfId="0" applyBorder="1"/>
    <xf numFmtId="0" fontId="0" fillId="0" borderId="93" xfId="0" applyBorder="1"/>
    <xf numFmtId="0" fontId="0" fillId="0" borderId="0" xfId="0" applyAlignment="1">
      <alignment vertical="center" wrapText="1"/>
    </xf>
    <xf numFmtId="0" fontId="28" fillId="11" borderId="181" xfId="0" applyFont="1" applyFill="1" applyBorder="1" applyAlignment="1">
      <alignment horizontal="center" wrapText="1"/>
    </xf>
    <xf numFmtId="0" fontId="12" fillId="6" borderId="179" xfId="0" applyFont="1" applyFill="1" applyBorder="1" applyAlignment="1">
      <alignment horizontal="center" wrapText="1"/>
    </xf>
    <xf numFmtId="0" fontId="28" fillId="11" borderId="50" xfId="0" applyFont="1" applyFill="1" applyBorder="1" applyAlignment="1">
      <alignment horizontal="center" wrapText="1"/>
    </xf>
    <xf numFmtId="0" fontId="0" fillId="0" borderId="42" xfId="0" applyBorder="1"/>
    <xf numFmtId="0" fontId="0" fillId="0" borderId="93" xfId="0" applyBorder="1"/>
    <xf numFmtId="0" fontId="0" fillId="0" borderId="0" xfId="0" applyAlignment="1">
      <alignment vertical="center" wrapText="1"/>
    </xf>
    <xf numFmtId="0" fontId="28" fillId="11" borderId="207" xfId="0" applyFont="1" applyFill="1" applyBorder="1" applyAlignment="1">
      <alignment horizontal="center" wrapText="1"/>
    </xf>
    <xf numFmtId="0" fontId="13" fillId="3" borderId="219" xfId="0" applyFont="1" applyFill="1" applyBorder="1" applyAlignment="1">
      <alignment horizontal="centerContinuous" wrapText="1"/>
    </xf>
    <xf numFmtId="0" fontId="0" fillId="2" borderId="24" xfId="0" applyFill="1" applyBorder="1" applyAlignment="1">
      <alignment horizontal="right"/>
    </xf>
    <xf numFmtId="3" fontId="0" fillId="0" borderId="23" xfId="0" applyNumberFormat="1" applyBorder="1" applyAlignment="1">
      <alignment horizontal="right"/>
    </xf>
    <xf numFmtId="3" fontId="0" fillId="0" borderId="21" xfId="0" applyNumberFormat="1" applyBorder="1" applyAlignment="1">
      <alignment horizontal="right"/>
    </xf>
    <xf numFmtId="0" fontId="15" fillId="6" borderId="221" xfId="0" applyFont="1" applyFill="1" applyBorder="1" applyAlignment="1">
      <alignment horizontal="center" wrapText="1"/>
    </xf>
    <xf numFmtId="3" fontId="55" fillId="0" borderId="20" xfId="0" applyNumberFormat="1" applyFont="1" applyBorder="1"/>
    <xf numFmtId="3" fontId="55" fillId="0" borderId="19" xfId="0" applyNumberFormat="1" applyFont="1" applyBorder="1"/>
    <xf numFmtId="0" fontId="12" fillId="6" borderId="219" xfId="0" applyFont="1" applyFill="1" applyBorder="1"/>
    <xf numFmtId="0" fontId="16" fillId="6" borderId="222" xfId="0" applyFont="1" applyFill="1" applyBorder="1" applyAlignment="1">
      <alignment wrapText="1"/>
    </xf>
    <xf numFmtId="0" fontId="16" fillId="9" borderId="222" xfId="0" applyFont="1" applyFill="1" applyBorder="1" applyAlignment="1">
      <alignment wrapText="1"/>
    </xf>
    <xf numFmtId="0" fontId="29" fillId="11" borderId="175" xfId="0" applyFont="1" applyFill="1" applyBorder="1" applyAlignment="1">
      <alignment horizontal="centerContinuous" wrapText="1"/>
    </xf>
    <xf numFmtId="0" fontId="0" fillId="0" borderId="20" xfId="0" applyBorder="1" applyAlignment="1">
      <alignment horizontal="right"/>
    </xf>
    <xf numFmtId="0" fontId="28" fillId="11" borderId="218" xfId="0" applyFont="1" applyFill="1" applyBorder="1" applyAlignment="1">
      <alignment horizontal="centerContinuous" wrapText="1"/>
    </xf>
    <xf numFmtId="0" fontId="28" fillId="11" borderId="222" xfId="0" applyFont="1" applyFill="1" applyBorder="1" applyAlignment="1">
      <alignment horizontal="centerContinuous" wrapText="1"/>
    </xf>
    <xf numFmtId="0" fontId="46" fillId="12" borderId="220" xfId="0" applyFont="1" applyFill="1" applyBorder="1" applyAlignment="1">
      <alignment horizontal="left" wrapText="1"/>
    </xf>
    <xf numFmtId="0" fontId="34" fillId="12" borderId="223" xfId="0" applyFont="1" applyFill="1" applyBorder="1" applyAlignment="1">
      <alignment wrapText="1"/>
    </xf>
    <xf numFmtId="0" fontId="28" fillId="13" borderId="218" xfId="0" applyFont="1" applyFill="1" applyBorder="1" applyAlignment="1">
      <alignment horizontal="centerContinuous" wrapText="1"/>
    </xf>
    <xf numFmtId="0" fontId="28" fillId="13" borderId="222" xfId="0" applyFont="1" applyFill="1" applyBorder="1" applyAlignment="1">
      <alignment wrapText="1"/>
    </xf>
    <xf numFmtId="0" fontId="15" fillId="14" borderId="221" xfId="0" applyFont="1" applyFill="1" applyBorder="1" applyAlignment="1">
      <alignment wrapText="1"/>
    </xf>
    <xf numFmtId="0" fontId="15" fillId="14" borderId="224" xfId="0" applyFont="1" applyFill="1" applyBorder="1" applyAlignment="1">
      <alignment wrapText="1"/>
    </xf>
    <xf numFmtId="0" fontId="15" fillId="14" borderId="225" xfId="0" applyFont="1" applyFill="1" applyBorder="1" applyAlignment="1">
      <alignment wrapText="1"/>
    </xf>
    <xf numFmtId="0" fontId="0" fillId="0" borderId="21" xfId="0" applyBorder="1" applyAlignment="1">
      <alignment horizontal="right"/>
    </xf>
    <xf numFmtId="0" fontId="5" fillId="2" borderId="226" xfId="0" applyFont="1" applyFill="1" applyBorder="1" applyAlignment="1">
      <alignment horizontal="centerContinuous"/>
    </xf>
    <xf numFmtId="0" fontId="0" fillId="2" borderId="227" xfId="0" applyFill="1" applyBorder="1" applyAlignment="1">
      <alignment horizontal="centerContinuous"/>
    </xf>
    <xf numFmtId="0" fontId="12" fillId="3" borderId="229" xfId="0" applyFont="1" applyFill="1" applyBorder="1" applyAlignment="1">
      <alignment wrapText="1"/>
    </xf>
    <xf numFmtId="0" fontId="12" fillId="6" borderId="229" xfId="0" applyFont="1" applyFill="1" applyBorder="1"/>
    <xf numFmtId="0" fontId="12" fillId="9" borderId="229" xfId="0" applyFont="1" applyFill="1" applyBorder="1" applyAlignment="1">
      <alignment wrapText="1"/>
    </xf>
    <xf numFmtId="0" fontId="12" fillId="14" borderId="229" xfId="0" applyFont="1" applyFill="1" applyBorder="1" applyAlignment="1">
      <alignment wrapText="1"/>
    </xf>
    <xf numFmtId="0" fontId="12" fillId="11" borderId="229" xfId="0" applyFont="1" applyFill="1" applyBorder="1" applyAlignment="1">
      <alignment horizontal="left" vertical="center" wrapText="1"/>
    </xf>
    <xf numFmtId="4" fontId="26" fillId="0" borderId="21" xfId="0" applyNumberFormat="1" applyFont="1" applyBorder="1" applyAlignment="1">
      <alignment horizontal="right"/>
    </xf>
    <xf numFmtId="0" fontId="26" fillId="0" borderId="21" xfId="0" applyFont="1" applyBorder="1" applyAlignment="1">
      <alignment horizontal="right"/>
    </xf>
    <xf numFmtId="0" fontId="67" fillId="0" borderId="133" xfId="0" applyFont="1" applyBorder="1" applyAlignment="1">
      <alignment horizontal="center"/>
    </xf>
    <xf numFmtId="0" fontId="55" fillId="0" borderId="136" xfId="0" applyFont="1" applyBorder="1" applyAlignment="1">
      <alignment horizontal="left" vertical="center" wrapText="1"/>
    </xf>
    <xf numFmtId="0" fontId="67" fillId="4" borderId="137" xfId="0" applyFont="1" applyFill="1" applyBorder="1" applyAlignment="1">
      <alignment horizontal="center"/>
    </xf>
    <xf numFmtId="0" fontId="61" fillId="33" borderId="29" xfId="0" applyFont="1" applyFill="1" applyBorder="1" applyAlignment="1">
      <alignment horizontal="right"/>
    </xf>
    <xf numFmtId="4" fontId="67" fillId="0" borderId="133" xfId="0" applyNumberFormat="1" applyFont="1" applyBorder="1" applyAlignment="1">
      <alignment vertical="center"/>
    </xf>
    <xf numFmtId="4" fontId="67" fillId="7" borderId="132" xfId="0" applyNumberFormat="1" applyFont="1" applyFill="1" applyBorder="1" applyAlignment="1">
      <alignment vertical="center" wrapText="1"/>
    </xf>
    <xf numFmtId="4" fontId="67" fillId="7" borderId="132" xfId="0" applyNumberFormat="1" applyFont="1" applyFill="1" applyBorder="1" applyAlignment="1">
      <alignment vertical="center"/>
    </xf>
    <xf numFmtId="4" fontId="0" fillId="0" borderId="0" xfId="0" applyNumberFormat="1" applyFont="1"/>
    <xf numFmtId="0" fontId="0" fillId="8" borderId="230" xfId="0" applyFill="1" applyBorder="1"/>
    <xf numFmtId="0" fontId="24" fillId="11" borderId="133" xfId="0" applyFont="1" applyFill="1" applyBorder="1" applyAlignment="1">
      <alignment wrapText="1"/>
    </xf>
    <xf numFmtId="0" fontId="15" fillId="11" borderId="133" xfId="0" applyFont="1" applyFill="1" applyBorder="1" applyAlignment="1">
      <alignment horizontal="center" wrapText="1"/>
    </xf>
    <xf numFmtId="4" fontId="26" fillId="0" borderId="133" xfId="0" applyNumberFormat="1" applyFont="1" applyBorder="1"/>
    <xf numFmtId="0" fontId="26" fillId="4" borderId="133" xfId="0" applyFont="1" applyFill="1" applyBorder="1" applyAlignment="1">
      <alignment vertical="center"/>
    </xf>
    <xf numFmtId="4" fontId="26" fillId="0" borderId="133" xfId="0" applyNumberFormat="1" applyFont="1" applyBorder="1" applyAlignment="1">
      <alignment vertical="center"/>
    </xf>
    <xf numFmtId="0" fontId="26" fillId="0" borderId="133" xfId="0" applyFont="1" applyBorder="1" applyAlignment="1">
      <alignment vertical="center"/>
    </xf>
    <xf numFmtId="0" fontId="0" fillId="0" borderId="0" xfId="0" applyAlignment="1">
      <alignment vertical="center"/>
    </xf>
    <xf numFmtId="0" fontId="13" fillId="5" borderId="133" xfId="0" applyFont="1" applyFill="1" applyBorder="1" applyAlignment="1">
      <alignment horizontal="right" vertical="center"/>
    </xf>
    <xf numFmtId="4" fontId="13" fillId="5" borderId="133" xfId="0" applyNumberFormat="1" applyFont="1" applyFill="1" applyBorder="1" applyAlignment="1">
      <alignment horizontal="right" vertical="center"/>
    </xf>
    <xf numFmtId="4" fontId="140" fillId="0" borderId="0" xfId="0" applyNumberFormat="1" applyFont="1"/>
    <xf numFmtId="0" fontId="135" fillId="0" borderId="0" xfId="0" applyFont="1"/>
    <xf numFmtId="0" fontId="28" fillId="11" borderId="50" xfId="0" applyFont="1" applyFill="1" applyBorder="1" applyAlignment="1">
      <alignment horizontal="center" wrapText="1"/>
    </xf>
    <xf numFmtId="0" fontId="51" fillId="0" borderId="0" xfId="0" applyFont="1" applyAlignment="1"/>
    <xf numFmtId="0" fontId="52" fillId="0" borderId="0" xfId="0" applyFont="1" applyAlignment="1"/>
    <xf numFmtId="0" fontId="0" fillId="0" borderId="93" xfId="0" applyBorder="1"/>
    <xf numFmtId="0" fontId="0" fillId="0" borderId="0" xfId="0" applyAlignment="1">
      <alignment vertical="center" wrapText="1"/>
    </xf>
    <xf numFmtId="0" fontId="0" fillId="0" borderId="0" xfId="0" applyAlignment="1"/>
    <xf numFmtId="0" fontId="12" fillId="6" borderId="231" xfId="0" applyFont="1" applyFill="1" applyBorder="1"/>
    <xf numFmtId="0" fontId="12" fillId="9" borderId="231" xfId="0" applyFont="1" applyFill="1" applyBorder="1" applyAlignment="1">
      <alignment wrapText="1"/>
    </xf>
    <xf numFmtId="0" fontId="12" fillId="14" borderId="231" xfId="0" applyFont="1" applyFill="1" applyBorder="1" applyAlignment="1">
      <alignment wrapText="1"/>
    </xf>
    <xf numFmtId="0" fontId="12" fillId="11" borderId="231" xfId="0" applyFont="1" applyFill="1" applyBorder="1" applyAlignment="1">
      <alignment horizontal="left" wrapText="1"/>
    </xf>
    <xf numFmtId="0" fontId="28" fillId="11" borderId="50" xfId="0" applyFont="1" applyFill="1" applyBorder="1" applyAlignment="1">
      <alignment horizontal="center" wrapText="1"/>
    </xf>
    <xf numFmtId="0" fontId="0" fillId="0" borderId="42" xfId="0" applyBorder="1"/>
    <xf numFmtId="0" fontId="0" fillId="0" borderId="93" xfId="0" applyBorder="1"/>
    <xf numFmtId="0" fontId="0" fillId="0" borderId="0" xfId="0" applyAlignment="1">
      <alignment vertical="center" wrapText="1"/>
    </xf>
    <xf numFmtId="0" fontId="5" fillId="2" borderId="232" xfId="0" applyFont="1" applyFill="1" applyBorder="1" applyAlignment="1">
      <alignment horizontal="centerContinuous"/>
    </xf>
    <xf numFmtId="0" fontId="0" fillId="2" borderId="233" xfId="0" applyFill="1" applyBorder="1" applyAlignment="1">
      <alignment horizontal="centerContinuous"/>
    </xf>
    <xf numFmtId="0" fontId="12" fillId="3" borderId="235" xfId="0" applyFont="1" applyFill="1" applyBorder="1" applyAlignment="1">
      <alignment wrapText="1"/>
    </xf>
    <xf numFmtId="0" fontId="12" fillId="3" borderId="236" xfId="0" applyFont="1" applyFill="1" applyBorder="1" applyAlignment="1">
      <alignment wrapText="1"/>
    </xf>
    <xf numFmtId="0" fontId="12" fillId="6" borderId="235" xfId="0" applyFont="1" applyFill="1" applyBorder="1"/>
    <xf numFmtId="0" fontId="12" fillId="6" borderId="236" xfId="0" applyFont="1" applyFill="1" applyBorder="1" applyAlignment="1">
      <alignment horizontal="center" wrapText="1"/>
    </xf>
    <xf numFmtId="0" fontId="15" fillId="0" borderId="239" xfId="0" applyFont="1" applyFill="1" applyBorder="1" applyAlignment="1">
      <alignment horizontal="left" vertical="center" wrapText="1"/>
    </xf>
    <xf numFmtId="0" fontId="12" fillId="6" borderId="236" xfId="0" applyFont="1" applyFill="1" applyBorder="1" applyAlignment="1">
      <alignment wrapText="1"/>
    </xf>
    <xf numFmtId="0" fontId="28" fillId="6" borderId="237" xfId="0" applyFont="1" applyFill="1" applyBorder="1" applyAlignment="1">
      <alignment horizontal="centerContinuous" wrapText="1"/>
    </xf>
    <xf numFmtId="0" fontId="28" fillId="6" borderId="238" xfId="0" applyFont="1" applyFill="1" applyBorder="1" applyAlignment="1">
      <alignment horizontal="centerContinuous" wrapText="1"/>
    </xf>
    <xf numFmtId="0" fontId="36" fillId="9" borderId="236" xfId="0" applyFont="1" applyFill="1" applyBorder="1" applyAlignment="1">
      <alignment horizontal="center" wrapText="1"/>
    </xf>
    <xf numFmtId="0" fontId="29" fillId="11" borderId="237" xfId="0" applyFont="1" applyFill="1" applyBorder="1" applyAlignment="1">
      <alignment horizontal="centerContinuous" wrapText="1"/>
    </xf>
    <xf numFmtId="0" fontId="29" fillId="11" borderId="238" xfId="0" applyFont="1" applyFill="1" applyBorder="1" applyAlignment="1">
      <alignment horizontal="centerContinuous" wrapText="1"/>
    </xf>
    <xf numFmtId="0" fontId="28" fillId="11" borderId="241" xfId="0" applyFont="1" applyFill="1" applyBorder="1" applyAlignment="1">
      <alignment horizontal="center" wrapText="1"/>
    </xf>
    <xf numFmtId="0" fontId="28" fillId="11" borderId="237" xfId="0" applyFont="1" applyFill="1" applyBorder="1" applyAlignment="1">
      <alignment horizontal="centerContinuous" wrapText="1"/>
    </xf>
    <xf numFmtId="0" fontId="28" fillId="12" borderId="242" xfId="0" applyFont="1" applyFill="1" applyBorder="1" applyAlignment="1">
      <alignment horizontal="centerContinuous" wrapText="1"/>
    </xf>
    <xf numFmtId="0" fontId="28" fillId="12" borderId="243" xfId="0" applyFont="1" applyFill="1" applyBorder="1" applyAlignment="1">
      <alignment horizontal="centerContinuous" wrapText="1"/>
    </xf>
    <xf numFmtId="0" fontId="28" fillId="12" borderId="244" xfId="0" applyFont="1" applyFill="1" applyBorder="1" applyAlignment="1">
      <alignment horizontal="centerContinuous" wrapText="1"/>
    </xf>
    <xf numFmtId="0" fontId="28" fillId="12" borderId="237" xfId="0" applyFont="1" applyFill="1" applyBorder="1" applyAlignment="1">
      <alignment horizontal="centerContinuous" wrapText="1"/>
    </xf>
    <xf numFmtId="0" fontId="28" fillId="12" borderId="247" xfId="0" applyFont="1" applyFill="1" applyBorder="1" applyAlignment="1">
      <alignment horizontal="centerContinuous" wrapText="1"/>
    </xf>
    <xf numFmtId="0" fontId="28" fillId="12" borderId="238" xfId="0" applyFont="1" applyFill="1" applyBorder="1" applyAlignment="1">
      <alignment horizontal="centerContinuous" wrapText="1"/>
    </xf>
    <xf numFmtId="0" fontId="0" fillId="7" borderId="239" xfId="0" applyFont="1" applyFill="1" applyBorder="1"/>
    <xf numFmtId="0" fontId="0" fillId="12" borderId="237" xfId="0" applyFont="1" applyFill="1" applyBorder="1" applyAlignment="1">
      <alignment wrapText="1"/>
    </xf>
    <xf numFmtId="0" fontId="28" fillId="13" borderId="237" xfId="0" applyFont="1" applyFill="1" applyBorder="1" applyAlignment="1">
      <alignment horizontal="centerContinuous" wrapText="1"/>
    </xf>
    <xf numFmtId="0" fontId="28" fillId="13" borderId="247" xfId="0" applyFont="1" applyFill="1" applyBorder="1" applyAlignment="1">
      <alignment horizontal="centerContinuous" wrapText="1"/>
    </xf>
    <xf numFmtId="0" fontId="15" fillId="14" borderId="237" xfId="0" applyFont="1" applyFill="1" applyBorder="1" applyAlignment="1">
      <alignment wrapText="1"/>
    </xf>
    <xf numFmtId="0" fontId="5" fillId="2" borderId="248" xfId="0" applyFont="1" applyFill="1" applyBorder="1" applyAlignment="1">
      <alignment horizontal="centerContinuous"/>
    </xf>
    <xf numFmtId="0" fontId="0" fillId="2" borderId="249" xfId="0" applyFill="1" applyBorder="1" applyAlignment="1">
      <alignment horizontal="centerContinuous"/>
    </xf>
    <xf numFmtId="0" fontId="12" fillId="3" borderId="251" xfId="0" applyFont="1" applyFill="1" applyBorder="1" applyAlignment="1">
      <alignment wrapText="1"/>
    </xf>
    <xf numFmtId="0" fontId="12" fillId="6" borderId="251" xfId="0" applyFont="1" applyFill="1" applyBorder="1"/>
    <xf numFmtId="0" fontId="12" fillId="9" borderId="251" xfId="0" applyFont="1" applyFill="1" applyBorder="1" applyAlignment="1">
      <alignment wrapText="1"/>
    </xf>
    <xf numFmtId="0" fontId="12" fillId="14" borderId="251" xfId="0" applyFont="1" applyFill="1" applyBorder="1" applyAlignment="1">
      <alignment wrapText="1"/>
    </xf>
    <xf numFmtId="0" fontId="12" fillId="11" borderId="251" xfId="0" applyFont="1" applyFill="1" applyBorder="1" applyAlignment="1">
      <alignment horizontal="left" vertical="center" wrapText="1"/>
    </xf>
    <xf numFmtId="0" fontId="12" fillId="3" borderId="253" xfId="0" applyFont="1" applyFill="1" applyBorder="1" applyAlignment="1">
      <alignment wrapText="1"/>
    </xf>
    <xf numFmtId="0" fontId="0" fillId="15" borderId="24" xfId="0" applyFill="1" applyBorder="1"/>
    <xf numFmtId="0" fontId="12" fillId="3" borderId="254" xfId="0" applyFont="1" applyFill="1" applyBorder="1" applyAlignment="1">
      <alignment wrapText="1"/>
    </xf>
    <xf numFmtId="0" fontId="0" fillId="0" borderId="55" xfId="0" applyFill="1" applyBorder="1"/>
    <xf numFmtId="0" fontId="0" fillId="0" borderId="256" xfId="0" applyBorder="1"/>
    <xf numFmtId="0" fontId="0" fillId="0" borderId="254" xfId="0" applyBorder="1"/>
    <xf numFmtId="0" fontId="34" fillId="4" borderId="257" xfId="0" applyFont="1" applyFill="1" applyBorder="1"/>
    <xf numFmtId="0" fontId="34" fillId="8" borderId="257" xfId="0" applyFont="1" applyFill="1" applyBorder="1"/>
    <xf numFmtId="0" fontId="0" fillId="0" borderId="255" xfId="0" applyBorder="1"/>
    <xf numFmtId="2" fontId="0" fillId="0" borderId="20" xfId="0" applyNumberFormat="1" applyBorder="1"/>
    <xf numFmtId="0" fontId="15" fillId="0" borderId="100" xfId="0" applyFont="1" applyBorder="1" applyAlignment="1">
      <alignment horizontal="left" vertical="center" wrapText="1"/>
    </xf>
    <xf numFmtId="0" fontId="0" fillId="0" borderId="41" xfId="0" applyBorder="1" applyAlignment="1">
      <alignment vertical="center" wrapText="1"/>
    </xf>
    <xf numFmtId="0" fontId="15" fillId="0" borderId="38" xfId="0" applyFont="1" applyBorder="1" applyAlignment="1">
      <alignment horizontal="left" vertical="center" wrapText="1"/>
    </xf>
    <xf numFmtId="0" fontId="0" fillId="0" borderId="42" xfId="0" applyBorder="1" applyAlignment="1">
      <alignment vertical="center" wrapText="1"/>
    </xf>
    <xf numFmtId="0" fontId="55" fillId="7" borderId="78" xfId="0" applyFont="1" applyFill="1" applyBorder="1" applyAlignment="1">
      <alignment horizontal="center" vertical="center" wrapText="1"/>
    </xf>
    <xf numFmtId="0" fontId="55" fillId="7" borderId="18" xfId="0" applyFont="1" applyFill="1" applyBorder="1" applyAlignment="1">
      <alignment horizontal="center" vertical="center" wrapText="1"/>
    </xf>
    <xf numFmtId="0" fontId="55" fillId="7" borderId="26" xfId="0" applyFont="1" applyFill="1" applyBorder="1" applyAlignment="1">
      <alignment horizontal="center" vertical="center" wrapText="1"/>
    </xf>
    <xf numFmtId="0" fontId="12" fillId="13" borderId="14" xfId="0" applyFont="1" applyFill="1" applyBorder="1" applyAlignment="1">
      <alignment horizontal="left"/>
    </xf>
    <xf numFmtId="0" fontId="12" fillId="13" borderId="23" xfId="0" applyFont="1" applyFill="1" applyBorder="1" applyAlignment="1">
      <alignment horizontal="left"/>
    </xf>
    <xf numFmtId="0" fontId="12" fillId="13" borderId="10" xfId="0" applyFont="1" applyFill="1" applyBorder="1" applyAlignment="1">
      <alignment horizontal="center" wrapText="1"/>
    </xf>
    <xf numFmtId="0" fontId="12" fillId="13" borderId="49" xfId="0" applyFont="1" applyFill="1" applyBorder="1" applyAlignment="1">
      <alignment horizontal="center" wrapText="1"/>
    </xf>
    <xf numFmtId="0" fontId="15" fillId="13" borderId="15" xfId="0" applyFont="1" applyFill="1" applyBorder="1" applyAlignment="1">
      <alignment horizontal="center" wrapText="1"/>
    </xf>
    <xf numFmtId="0" fontId="15" fillId="13" borderId="21" xfId="0" applyFont="1" applyFill="1" applyBorder="1" applyAlignment="1">
      <alignment horizontal="center" wrapText="1"/>
    </xf>
    <xf numFmtId="0" fontId="15" fillId="13" borderId="34" xfId="0" applyFont="1" applyFill="1" applyBorder="1" applyAlignment="1">
      <alignment horizontal="center" wrapText="1"/>
    </xf>
    <xf numFmtId="0" fontId="15" fillId="13" borderId="13" xfId="0" applyFont="1" applyFill="1" applyBorder="1" applyAlignment="1">
      <alignment horizontal="center" wrapText="1"/>
    </xf>
    <xf numFmtId="0" fontId="15" fillId="13" borderId="57" xfId="0" applyFont="1" applyFill="1" applyBorder="1" applyAlignment="1">
      <alignment horizontal="center" wrapText="1"/>
    </xf>
    <xf numFmtId="0" fontId="15" fillId="13" borderId="39" xfId="0" applyFont="1" applyFill="1" applyBorder="1" applyAlignment="1">
      <alignment horizontal="center" wrapText="1"/>
    </xf>
    <xf numFmtId="0" fontId="15" fillId="13" borderId="16" xfId="0" applyFont="1" applyFill="1" applyBorder="1" applyAlignment="1">
      <alignment horizontal="center" wrapText="1"/>
    </xf>
    <xf numFmtId="0" fontId="18" fillId="0" borderId="102" xfId="0" applyFont="1" applyBorder="1" applyAlignment="1">
      <alignment horizontal="left" vertical="center" wrapText="1"/>
    </xf>
    <xf numFmtId="0" fontId="1" fillId="0" borderId="105" xfId="0" applyFont="1" applyBorder="1" applyAlignment="1">
      <alignment vertical="center" wrapText="1"/>
    </xf>
    <xf numFmtId="0" fontId="18" fillId="0" borderId="100" xfId="0" applyFont="1" applyBorder="1" applyAlignment="1">
      <alignment horizontal="left" vertical="center" wrapText="1"/>
    </xf>
    <xf numFmtId="0" fontId="1" fillId="0" borderId="107" xfId="0" applyFont="1" applyBorder="1" applyAlignment="1">
      <alignment vertical="center" wrapText="1"/>
    </xf>
    <xf numFmtId="0" fontId="18" fillId="0" borderId="38" xfId="0" applyFont="1" applyBorder="1" applyAlignment="1">
      <alignment horizontal="left" vertical="center" wrapText="1"/>
    </xf>
    <xf numFmtId="0" fontId="1" fillId="0" borderId="109" xfId="0" applyFont="1" applyBorder="1" applyAlignment="1">
      <alignment vertical="center" wrapText="1"/>
    </xf>
    <xf numFmtId="0" fontId="28" fillId="0" borderId="103" xfId="0" applyFont="1" applyBorder="1" applyAlignment="1">
      <alignment horizontal="left" wrapText="1"/>
    </xf>
    <xf numFmtId="0" fontId="0" fillId="0" borderId="93" xfId="0" applyBorder="1" applyAlignment="1">
      <alignment wrapText="1"/>
    </xf>
    <xf numFmtId="0" fontId="28" fillId="0" borderId="101" xfId="0" applyFont="1" applyBorder="1" applyAlignment="1">
      <alignment horizontal="left" wrapText="1"/>
    </xf>
    <xf numFmtId="0" fontId="0" fillId="0" borderId="41" xfId="0" applyBorder="1" applyAlignment="1">
      <alignment wrapText="1"/>
    </xf>
    <xf numFmtId="0" fontId="28" fillId="0" borderId="104" xfId="0" applyFont="1" applyBorder="1" applyAlignment="1">
      <alignment horizontal="left" wrapText="1"/>
    </xf>
    <xf numFmtId="0" fontId="0" fillId="0" borderId="42" xfId="0" applyBorder="1" applyAlignment="1">
      <alignment wrapText="1"/>
    </xf>
    <xf numFmtId="0" fontId="27" fillId="13" borderId="45" xfId="0" applyFont="1" applyFill="1" applyBorder="1" applyAlignment="1">
      <alignment horizontal="left" wrapText="1"/>
    </xf>
    <xf numFmtId="0" fontId="27" fillId="13" borderId="17" xfId="0" applyFont="1" applyFill="1" applyBorder="1" applyAlignment="1">
      <alignment horizontal="left" wrapText="1"/>
    </xf>
    <xf numFmtId="0" fontId="28" fillId="13" borderId="46" xfId="0" applyFont="1" applyFill="1" applyBorder="1" applyAlignment="1">
      <alignment horizontal="center" wrapText="1"/>
    </xf>
    <xf numFmtId="0" fontId="28" fillId="13" borderId="50" xfId="0" applyFont="1" applyFill="1" applyBorder="1" applyAlignment="1">
      <alignment horizontal="center" wrapText="1"/>
    </xf>
    <xf numFmtId="0" fontId="28" fillId="13" borderId="48" xfId="0" applyFont="1" applyFill="1" applyBorder="1" applyAlignment="1">
      <alignment horizontal="center" wrapText="1"/>
    </xf>
    <xf numFmtId="0" fontId="28" fillId="13" borderId="13" xfId="0" applyFont="1" applyFill="1" applyBorder="1" applyAlignment="1">
      <alignment horizontal="center" wrapText="1"/>
    </xf>
    <xf numFmtId="0" fontId="28" fillId="13" borderId="36" xfId="0" applyFont="1" applyFill="1" applyBorder="1" applyAlignment="1">
      <alignment horizontal="center" wrapText="1"/>
    </xf>
    <xf numFmtId="0" fontId="28" fillId="0" borderId="100" xfId="0" applyFont="1" applyBorder="1" applyAlignment="1">
      <alignment horizontal="left" vertical="center" wrapText="1"/>
    </xf>
    <xf numFmtId="0" fontId="57" fillId="0" borderId="41" xfId="0" applyFont="1" applyBorder="1" applyAlignment="1"/>
    <xf numFmtId="0" fontId="28" fillId="0" borderId="38" xfId="0" applyFont="1" applyBorder="1" applyAlignment="1">
      <alignment horizontal="left"/>
    </xf>
    <xf numFmtId="0" fontId="57" fillId="0" borderId="42" xfId="0" applyFont="1" applyBorder="1" applyAlignment="1"/>
    <xf numFmtId="0" fontId="28" fillId="12" borderId="66" xfId="0" applyFont="1" applyFill="1" applyBorder="1" applyAlignment="1">
      <alignment horizontal="center" wrapText="1"/>
    </xf>
    <xf numFmtId="0" fontId="28" fillId="12" borderId="67" xfId="0" applyFont="1" applyFill="1" applyBorder="1" applyAlignment="1">
      <alignment horizontal="center" wrapText="1"/>
    </xf>
    <xf numFmtId="0" fontId="28" fillId="12" borderId="69" xfId="0" applyFont="1" applyFill="1" applyBorder="1" applyAlignment="1">
      <alignment horizontal="center" wrapText="1"/>
    </xf>
    <xf numFmtId="0" fontId="31" fillId="0" borderId="100" xfId="0" applyFont="1" applyBorder="1" applyAlignment="1">
      <alignment horizontal="left" vertical="center" wrapText="1"/>
    </xf>
    <xf numFmtId="0" fontId="0" fillId="0" borderId="41" xfId="0" applyBorder="1" applyAlignment="1"/>
    <xf numFmtId="0" fontId="0" fillId="0" borderId="42" xfId="0" applyBorder="1" applyAlignment="1"/>
    <xf numFmtId="0" fontId="27" fillId="12" borderId="9" xfId="0" applyFont="1" applyFill="1" applyBorder="1" applyAlignment="1">
      <alignment horizontal="left" wrapText="1"/>
    </xf>
    <xf numFmtId="0" fontId="27" fillId="12" borderId="100" xfId="0" applyFont="1" applyFill="1" applyBorder="1" applyAlignment="1">
      <alignment horizontal="left" wrapText="1"/>
    </xf>
    <xf numFmtId="0" fontId="36" fillId="12" borderId="10" xfId="0" applyFont="1" applyFill="1" applyBorder="1" applyAlignment="1">
      <alignment horizontal="center" wrapText="1"/>
    </xf>
    <xf numFmtId="0" fontId="36" fillId="12" borderId="18" xfId="0" applyFont="1" applyFill="1" applyBorder="1" applyAlignment="1">
      <alignment horizontal="center" wrapText="1"/>
    </xf>
    <xf numFmtId="0" fontId="28" fillId="12" borderId="71" xfId="0" applyFont="1" applyFill="1" applyBorder="1" applyAlignment="1">
      <alignment horizontal="center" wrapText="1"/>
    </xf>
    <xf numFmtId="0" fontId="28" fillId="12" borderId="73" xfId="0" applyFont="1" applyFill="1" applyBorder="1" applyAlignment="1">
      <alignment horizontal="center" wrapText="1"/>
    </xf>
    <xf numFmtId="0" fontId="28" fillId="12" borderId="46" xfId="0" applyFont="1" applyFill="1" applyBorder="1" applyAlignment="1">
      <alignment horizontal="center" wrapText="1"/>
    </xf>
    <xf numFmtId="0" fontId="28" fillId="12" borderId="50" xfId="0" applyFont="1" applyFill="1" applyBorder="1" applyAlignment="1">
      <alignment horizontal="center" wrapText="1"/>
    </xf>
    <xf numFmtId="0" fontId="27" fillId="11" borderId="45" xfId="0" applyFont="1" applyFill="1" applyBorder="1" applyAlignment="1">
      <alignment horizontal="left" wrapText="1"/>
    </xf>
    <xf numFmtId="0" fontId="27" fillId="11" borderId="17" xfId="0" applyFont="1" applyFill="1" applyBorder="1" applyAlignment="1">
      <alignment horizontal="left" wrapText="1"/>
    </xf>
    <xf numFmtId="0" fontId="36" fillId="11" borderId="10" xfId="0" applyFont="1" applyFill="1" applyBorder="1" applyAlignment="1">
      <alignment horizontal="center" wrapText="1"/>
    </xf>
    <xf numFmtId="0" fontId="12" fillId="11" borderId="18" xfId="0" applyFont="1" applyFill="1" applyBorder="1" applyAlignment="1">
      <alignment horizontal="center" wrapText="1"/>
    </xf>
    <xf numFmtId="0" fontId="27" fillId="12" borderId="45" xfId="0" applyFont="1" applyFill="1" applyBorder="1" applyAlignment="1">
      <alignment horizontal="left" wrapText="1"/>
    </xf>
    <xf numFmtId="0" fontId="27" fillId="12" borderId="17" xfId="0" applyFont="1" applyFill="1" applyBorder="1" applyAlignment="1">
      <alignment horizontal="left" wrapText="1"/>
    </xf>
    <xf numFmtId="0" fontId="28" fillId="0" borderId="38" xfId="0" applyFont="1" applyBorder="1" applyAlignment="1"/>
    <xf numFmtId="0" fontId="28" fillId="11" borderId="12" xfId="0" applyFont="1" applyFill="1" applyBorder="1" applyAlignment="1">
      <alignment horizontal="center" wrapText="1"/>
    </xf>
    <xf numFmtId="0" fontId="28" fillId="11" borderId="57" xfId="0" applyFont="1" applyFill="1" applyBorder="1" applyAlignment="1">
      <alignment horizontal="center" wrapText="1"/>
    </xf>
    <xf numFmtId="0" fontId="59" fillId="7" borderId="18" xfId="0" applyFont="1" applyFill="1" applyBorder="1" applyAlignment="1">
      <alignment horizontal="center" vertical="center" wrapText="1"/>
    </xf>
    <xf numFmtId="0" fontId="57" fillId="7" borderId="18" xfId="0" applyFont="1" applyFill="1" applyBorder="1" applyAlignment="1">
      <alignment horizontal="center"/>
    </xf>
    <xf numFmtId="0" fontId="57" fillId="7" borderId="26" xfId="0" applyFont="1" applyFill="1" applyBorder="1" applyAlignment="1">
      <alignment horizontal="center"/>
    </xf>
    <xf numFmtId="0" fontId="15" fillId="7" borderId="18" xfId="0" applyFont="1" applyFill="1" applyBorder="1" applyAlignment="1">
      <alignment horizontal="center" vertical="center" wrapText="1"/>
    </xf>
    <xf numFmtId="0" fontId="0" fillId="7" borderId="18" xfId="0" applyFill="1" applyBorder="1" applyAlignment="1">
      <alignment horizontal="center"/>
    </xf>
    <xf numFmtId="0" fontId="0" fillId="7" borderId="26" xfId="0" applyFill="1" applyBorder="1" applyAlignment="1">
      <alignment horizontal="center"/>
    </xf>
    <xf numFmtId="0" fontId="28" fillId="11" borderId="46" xfId="0" applyFont="1" applyFill="1" applyBorder="1" applyAlignment="1">
      <alignment horizontal="center" wrapText="1"/>
    </xf>
    <xf numFmtId="0" fontId="28" fillId="11" borderId="50" xfId="0" applyFont="1" applyFill="1" applyBorder="1" applyAlignment="1">
      <alignment horizontal="center" wrapText="1"/>
    </xf>
    <xf numFmtId="0" fontId="28" fillId="11" borderId="47" xfId="0" applyFont="1" applyFill="1" applyBorder="1" applyAlignment="1">
      <alignment horizontal="center" wrapText="1"/>
    </xf>
    <xf numFmtId="0" fontId="28" fillId="11" borderId="51" xfId="0" applyFont="1" applyFill="1" applyBorder="1" applyAlignment="1">
      <alignment horizontal="center" wrapText="1"/>
    </xf>
    <xf numFmtId="0" fontId="31" fillId="0" borderId="100" xfId="0" applyFont="1" applyBorder="1" applyAlignment="1">
      <alignment horizontal="center" vertical="center" wrapText="1"/>
    </xf>
    <xf numFmtId="0" fontId="0" fillId="0" borderId="41" xfId="0" applyBorder="1" applyAlignment="1">
      <alignment horizontal="center"/>
    </xf>
    <xf numFmtId="0" fontId="28" fillId="0" borderId="100" xfId="0" applyFont="1" applyBorder="1" applyAlignment="1">
      <alignment horizontal="center" vertical="center" wrapText="1"/>
    </xf>
    <xf numFmtId="0" fontId="28" fillId="0" borderId="38" xfId="0" applyFont="1" applyBorder="1" applyAlignment="1">
      <alignment horizontal="center"/>
    </xf>
    <xf numFmtId="0" fontId="0" fillId="0" borderId="42" xfId="0" applyBorder="1" applyAlignment="1">
      <alignment horizontal="center"/>
    </xf>
    <xf numFmtId="0" fontId="31" fillId="7" borderId="100" xfId="0" applyFont="1" applyFill="1" applyBorder="1" applyAlignment="1">
      <alignment horizontal="left" vertical="center" wrapText="1"/>
    </xf>
    <xf numFmtId="0" fontId="0" fillId="7" borderId="41" xfId="0" applyFont="1" applyFill="1" applyBorder="1" applyAlignment="1"/>
    <xf numFmtId="0" fontId="0" fillId="7" borderId="38" xfId="0" applyFont="1" applyFill="1" applyBorder="1" applyAlignment="1"/>
    <xf numFmtId="0" fontId="0" fillId="7" borderId="42" xfId="0" applyFont="1" applyFill="1" applyBorder="1" applyAlignment="1"/>
    <xf numFmtId="0" fontId="53" fillId="7" borderId="100" xfId="0" applyFont="1" applyFill="1" applyBorder="1" applyAlignment="1">
      <alignment horizontal="left" vertical="center" wrapText="1"/>
    </xf>
    <xf numFmtId="0" fontId="38" fillId="0" borderId="100" xfId="0" applyFont="1" applyBorder="1" applyAlignment="1">
      <alignment horizontal="left" vertical="center" wrapText="1"/>
    </xf>
    <xf numFmtId="0" fontId="21" fillId="0" borderId="100" xfId="0" applyFont="1" applyBorder="1" applyAlignment="1">
      <alignment horizontal="left" vertical="center" wrapText="1"/>
    </xf>
    <xf numFmtId="0" fontId="21" fillId="0" borderId="38" xfId="0" applyFont="1" applyBorder="1" applyAlignment="1"/>
    <xf numFmtId="0" fontId="29" fillId="6" borderId="47" xfId="0" applyFont="1" applyFill="1" applyBorder="1" applyAlignment="1">
      <alignment horizontal="center" wrapText="1"/>
    </xf>
    <xf numFmtId="0" fontId="29" fillId="6" borderId="51" xfId="0" applyFont="1" applyFill="1" applyBorder="1" applyAlignment="1">
      <alignment horizontal="center" wrapText="1"/>
    </xf>
    <xf numFmtId="0" fontId="51" fillId="0" borderId="0" xfId="0" applyFont="1" applyAlignment="1"/>
    <xf numFmtId="0" fontId="52" fillId="0" borderId="0" xfId="0" applyFont="1" applyAlignment="1"/>
    <xf numFmtId="0" fontId="0" fillId="2" borderId="2" xfId="0" applyFill="1" applyBorder="1" applyAlignment="1">
      <alignment horizontal="center"/>
    </xf>
    <xf numFmtId="0" fontId="0" fillId="2" borderId="3" xfId="0" applyFill="1" applyBorder="1" applyAlignment="1">
      <alignment horizontal="center"/>
    </xf>
    <xf numFmtId="0" fontId="6" fillId="2" borderId="4"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14" fillId="3" borderId="12" xfId="0" applyFont="1" applyFill="1" applyBorder="1" applyAlignment="1">
      <alignment horizontal="center" wrapText="1"/>
    </xf>
    <xf numFmtId="0" fontId="14" fillId="3" borderId="13" xfId="0" applyFont="1" applyFill="1" applyBorder="1" applyAlignment="1">
      <alignment horizontal="center" wrapText="1"/>
    </xf>
    <xf numFmtId="0" fontId="53" fillId="7" borderId="100" xfId="0" applyFont="1" applyFill="1" applyBorder="1" applyAlignment="1">
      <alignment horizontal="center" vertical="center" wrapText="1"/>
    </xf>
    <xf numFmtId="0" fontId="0" fillId="7" borderId="41" xfId="0" applyFont="1" applyFill="1" applyBorder="1" applyAlignment="1">
      <alignment horizontal="center" vertical="center" wrapText="1"/>
    </xf>
    <xf numFmtId="0" fontId="53" fillId="7" borderId="38" xfId="0" applyFont="1" applyFill="1" applyBorder="1" applyAlignment="1">
      <alignment horizontal="center" vertical="center" wrapText="1"/>
    </xf>
    <xf numFmtId="0" fontId="0" fillId="7" borderId="42" xfId="0" applyFont="1" applyFill="1" applyBorder="1" applyAlignment="1">
      <alignment horizontal="center" vertical="center" wrapText="1"/>
    </xf>
    <xf numFmtId="0" fontId="13" fillId="3" borderId="35" xfId="0" applyFont="1" applyFill="1" applyBorder="1" applyAlignment="1">
      <alignment horizontal="center" wrapText="1"/>
    </xf>
    <xf numFmtId="0" fontId="13" fillId="3" borderId="13" xfId="0" applyFont="1" applyFill="1" applyBorder="1" applyAlignment="1">
      <alignment horizontal="center" wrapText="1"/>
    </xf>
    <xf numFmtId="0" fontId="13" fillId="3" borderId="36" xfId="0" applyFont="1" applyFill="1" applyBorder="1" applyAlignment="1">
      <alignment horizontal="center" wrapText="1"/>
    </xf>
    <xf numFmtId="0" fontId="0" fillId="7" borderId="41" xfId="0" applyFont="1" applyFill="1" applyBorder="1" applyAlignment="1">
      <alignment vertical="center" wrapText="1"/>
    </xf>
    <xf numFmtId="0" fontId="53" fillId="7" borderId="38" xfId="0" applyFont="1" applyFill="1" applyBorder="1" applyAlignment="1">
      <alignment horizontal="left" vertical="center" wrapText="1"/>
    </xf>
    <xf numFmtId="0" fontId="0" fillId="7" borderId="42" xfId="0" applyFont="1" applyFill="1" applyBorder="1" applyAlignment="1">
      <alignment vertical="center" wrapText="1"/>
    </xf>
    <xf numFmtId="0" fontId="59" fillId="0" borderId="100" xfId="0" applyFont="1" applyBorder="1" applyAlignment="1">
      <alignment horizontal="left" vertical="center" wrapText="1"/>
    </xf>
    <xf numFmtId="0" fontId="57" fillId="0" borderId="41" xfId="0" applyFont="1" applyBorder="1" applyAlignment="1">
      <alignment vertical="center" wrapText="1"/>
    </xf>
    <xf numFmtId="0" fontId="59" fillId="0" borderId="38" xfId="0" applyFont="1" applyBorder="1" applyAlignment="1">
      <alignment horizontal="left" vertical="center" wrapText="1"/>
    </xf>
    <xf numFmtId="0" fontId="57" fillId="0" borderId="42" xfId="0" applyFont="1" applyBorder="1" applyAlignment="1">
      <alignment vertical="center" wrapText="1"/>
    </xf>
    <xf numFmtId="0" fontId="27" fillId="6" borderId="45" xfId="0" applyFont="1" applyFill="1" applyBorder="1" applyAlignment="1">
      <alignment horizontal="left"/>
    </xf>
    <xf numFmtId="0" fontId="27" fillId="6" borderId="17" xfId="0" applyFont="1" applyFill="1" applyBorder="1" applyAlignment="1">
      <alignment horizontal="left"/>
    </xf>
    <xf numFmtId="0" fontId="28" fillId="6" borderId="46" xfId="0" applyFont="1" applyFill="1" applyBorder="1" applyAlignment="1">
      <alignment horizontal="left" wrapText="1"/>
    </xf>
    <xf numFmtId="0" fontId="28" fillId="6" borderId="50" xfId="0" applyFont="1" applyFill="1" applyBorder="1" applyAlignment="1">
      <alignment horizontal="left" wrapText="1"/>
    </xf>
    <xf numFmtId="0" fontId="0" fillId="0" borderId="78" xfId="0" applyBorder="1" applyAlignment="1">
      <alignment horizontal="center" vertical="center" wrapText="1"/>
    </xf>
    <xf numFmtId="0" fontId="0" fillId="0" borderId="18" xfId="0" applyBorder="1" applyAlignment="1">
      <alignment horizontal="center" vertical="center" wrapText="1"/>
    </xf>
    <xf numFmtId="0" fontId="0" fillId="0" borderId="26" xfId="0" applyBorder="1" applyAlignment="1">
      <alignment horizontal="center" vertical="center" wrapText="1"/>
    </xf>
    <xf numFmtId="0" fontId="16" fillId="0" borderId="102" xfId="0" applyFont="1" applyBorder="1" applyAlignment="1">
      <alignment horizontal="left" vertical="center" wrapText="1"/>
    </xf>
    <xf numFmtId="0" fontId="0" fillId="0" borderId="93" xfId="0" applyBorder="1" applyAlignment="1">
      <alignment vertical="center" wrapText="1"/>
    </xf>
    <xf numFmtId="0" fontId="16" fillId="0" borderId="100" xfId="0" applyFont="1" applyBorder="1" applyAlignment="1">
      <alignment horizontal="left" vertical="center" wrapText="1"/>
    </xf>
    <xf numFmtId="0" fontId="16" fillId="0" borderId="38" xfId="0" applyFont="1" applyBorder="1" applyAlignment="1">
      <alignment horizontal="left" vertical="center" wrapText="1"/>
    </xf>
    <xf numFmtId="0" fontId="0" fillId="0" borderId="38" xfId="0" applyBorder="1" applyAlignment="1"/>
    <xf numFmtId="0" fontId="31" fillId="0" borderId="100" xfId="0" applyFont="1" applyBorder="1" applyAlignment="1">
      <alignment vertical="center" wrapText="1"/>
    </xf>
    <xf numFmtId="0" fontId="0" fillId="0" borderId="100" xfId="0" applyBorder="1" applyAlignment="1">
      <alignment vertical="center" wrapText="1"/>
    </xf>
    <xf numFmtId="0" fontId="0" fillId="0" borderId="38" xfId="0" applyBorder="1" applyAlignment="1">
      <alignment vertical="center" wrapText="1"/>
    </xf>
    <xf numFmtId="0" fontId="28" fillId="0" borderId="18"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78" xfId="0" applyFont="1" applyBorder="1" applyAlignment="1">
      <alignment horizontal="center" vertical="center" wrapText="1"/>
    </xf>
    <xf numFmtId="0" fontId="0" fillId="0" borderId="41" xfId="0" applyBorder="1"/>
    <xf numFmtId="0" fontId="0" fillId="0" borderId="100" xfId="0" applyBorder="1"/>
    <xf numFmtId="0" fontId="0" fillId="0" borderId="38" xfId="0" applyBorder="1"/>
    <xf numFmtId="0" fontId="0" fillId="0" borderId="42" xfId="0" applyBorder="1"/>
    <xf numFmtId="0" fontId="27" fillId="12" borderId="113" xfId="0" applyFont="1" applyFill="1" applyBorder="1" applyAlignment="1">
      <alignment horizontal="left" wrapText="1"/>
    </xf>
    <xf numFmtId="0" fontId="0" fillId="0" borderId="93" xfId="0" applyBorder="1"/>
    <xf numFmtId="0" fontId="0" fillId="0" borderId="101" xfId="0" applyBorder="1"/>
    <xf numFmtId="0" fontId="0" fillId="0" borderId="104" xfId="0" applyBorder="1"/>
    <xf numFmtId="0" fontId="36" fillId="11" borderId="18" xfId="0" applyFont="1" applyFill="1" applyBorder="1" applyAlignment="1">
      <alignment horizontal="center" wrapText="1"/>
    </xf>
    <xf numFmtId="0" fontId="28" fillId="7" borderId="18" xfId="0" applyFont="1" applyFill="1" applyBorder="1" applyAlignment="1">
      <alignment horizontal="center" vertical="center" wrapText="1"/>
    </xf>
    <xf numFmtId="0" fontId="28" fillId="7" borderId="26" xfId="0" applyFont="1" applyFill="1" applyBorder="1" applyAlignment="1">
      <alignment horizontal="center" vertical="center" wrapText="1"/>
    </xf>
    <xf numFmtId="0" fontId="15" fillId="0" borderId="18"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42" xfId="0" applyFont="1" applyBorder="1" applyAlignment="1">
      <alignment horizontal="center" vertical="center" wrapText="1"/>
    </xf>
    <xf numFmtId="0" fontId="0" fillId="0" borderId="78"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6" xfId="0" applyFont="1" applyBorder="1" applyAlignment="1">
      <alignment horizontal="center" vertical="center" wrapText="1"/>
    </xf>
    <xf numFmtId="0" fontId="53" fillId="0" borderId="100" xfId="0" applyFont="1" applyFill="1" applyBorder="1" applyAlignment="1">
      <alignment horizontal="left" vertical="center" wrapText="1"/>
    </xf>
    <xf numFmtId="0" fontId="0" fillId="0" borderId="41" xfId="0" applyFill="1" applyBorder="1" applyAlignment="1"/>
    <xf numFmtId="0" fontId="21" fillId="0" borderId="100" xfId="0" applyFont="1" applyFill="1" applyBorder="1" applyAlignment="1">
      <alignment horizontal="left" vertical="center" wrapText="1"/>
    </xf>
    <xf numFmtId="0" fontId="21" fillId="0" borderId="38" xfId="0" applyFont="1" applyFill="1" applyBorder="1" applyAlignment="1"/>
    <xf numFmtId="0" fontId="0" fillId="0" borderId="42" xfId="0" applyFill="1" applyBorder="1" applyAlignment="1"/>
    <xf numFmtId="0" fontId="0" fillId="2" borderId="115" xfId="0" applyFill="1" applyBorder="1" applyAlignment="1">
      <alignment horizontal="center"/>
    </xf>
    <xf numFmtId="0" fontId="0" fillId="2" borderId="116" xfId="0" applyFill="1" applyBorder="1" applyAlignment="1">
      <alignment horizontal="center"/>
    </xf>
    <xf numFmtId="0" fontId="14" fillId="3" borderId="117" xfId="0" applyFont="1" applyFill="1" applyBorder="1" applyAlignment="1">
      <alignment horizontal="center" wrapText="1"/>
    </xf>
    <xf numFmtId="0" fontId="53" fillId="0" borderId="100" xfId="0" applyFont="1" applyBorder="1" applyAlignment="1">
      <alignment horizontal="left" vertical="center" wrapText="1"/>
    </xf>
    <xf numFmtId="0" fontId="2" fillId="0" borderId="41" xfId="0" applyFont="1" applyBorder="1" applyAlignment="1">
      <alignment vertical="center" wrapText="1"/>
    </xf>
    <xf numFmtId="0" fontId="74" fillId="0" borderId="100" xfId="0" applyFont="1" applyBorder="1" applyAlignment="1">
      <alignment horizontal="left" vertical="center" wrapText="1"/>
    </xf>
    <xf numFmtId="0" fontId="74" fillId="0" borderId="38" xfId="0" applyFont="1" applyBorder="1" applyAlignment="1">
      <alignment horizontal="left" vertical="center" wrapText="1"/>
    </xf>
    <xf numFmtId="0" fontId="2" fillId="0" borderId="42" xfId="0" applyFont="1" applyBorder="1" applyAlignment="1">
      <alignment vertical="center" wrapText="1"/>
    </xf>
    <xf numFmtId="0" fontId="18" fillId="7" borderId="102" xfId="0" applyFont="1" applyFill="1" applyBorder="1" applyAlignment="1">
      <alignment horizontal="left" vertical="center" wrapText="1"/>
    </xf>
    <xf numFmtId="0" fontId="0" fillId="7" borderId="93" xfId="0" applyFill="1" applyBorder="1" applyAlignment="1">
      <alignment vertical="center" wrapText="1"/>
    </xf>
    <xf numFmtId="0" fontId="16" fillId="7" borderId="100" xfId="0" applyFont="1" applyFill="1" applyBorder="1" applyAlignment="1">
      <alignment horizontal="left" vertical="center" wrapText="1"/>
    </xf>
    <xf numFmtId="0" fontId="0" fillId="7" borderId="41" xfId="0" applyFill="1" applyBorder="1" applyAlignment="1">
      <alignment vertical="center" wrapText="1"/>
    </xf>
    <xf numFmtId="0" fontId="16" fillId="7" borderId="38" xfId="0" applyFont="1" applyFill="1" applyBorder="1" applyAlignment="1">
      <alignment horizontal="left" vertical="center" wrapText="1"/>
    </xf>
    <xf numFmtId="0" fontId="0" fillId="7" borderId="42" xfId="0" applyFill="1" applyBorder="1" applyAlignment="1">
      <alignment vertical="center" wrapText="1"/>
    </xf>
    <xf numFmtId="0" fontId="28" fillId="7" borderId="100" xfId="0" applyFont="1" applyFill="1" applyBorder="1" applyAlignment="1">
      <alignment horizontal="left" vertical="center" wrapText="1"/>
    </xf>
    <xf numFmtId="0" fontId="0" fillId="7" borderId="41" xfId="0" applyFill="1" applyBorder="1" applyAlignment="1"/>
    <xf numFmtId="0" fontId="28" fillId="7" borderId="38" xfId="0" applyFont="1" applyFill="1" applyBorder="1" applyAlignment="1">
      <alignment horizontal="left"/>
    </xf>
    <xf numFmtId="0" fontId="0" fillId="7" borderId="42" xfId="0" applyFill="1" applyBorder="1" applyAlignment="1"/>
    <xf numFmtId="0" fontId="0" fillId="7" borderId="38" xfId="0" applyFill="1" applyBorder="1" applyAlignment="1"/>
    <xf numFmtId="0" fontId="18" fillId="7" borderId="100" xfId="0" applyFont="1" applyFill="1" applyBorder="1" applyAlignment="1">
      <alignment horizontal="left" vertical="center" wrapText="1"/>
    </xf>
    <xf numFmtId="0" fontId="15" fillId="7" borderId="100" xfId="0" applyFont="1" applyFill="1" applyBorder="1" applyAlignment="1">
      <alignment horizontal="left" vertical="center" wrapText="1"/>
    </xf>
    <xf numFmtId="0" fontId="1" fillId="0" borderId="93" xfId="0" applyFont="1"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80" fillId="0" borderId="93" xfId="0" applyFont="1" applyBorder="1" applyAlignment="1">
      <alignment horizontal="left" vertical="top" wrapText="1"/>
    </xf>
    <xf numFmtId="0" fontId="83" fillId="0" borderId="41" xfId="0" applyFont="1" applyBorder="1" applyAlignment="1">
      <alignment horizontal="left" vertical="top" wrapText="1"/>
    </xf>
    <xf numFmtId="0" fontId="83" fillId="0" borderId="42" xfId="0" applyFont="1" applyBorder="1" applyAlignment="1">
      <alignment horizontal="left" vertical="top" wrapText="1"/>
    </xf>
    <xf numFmtId="0" fontId="12" fillId="13" borderId="119" xfId="0" applyFont="1" applyFill="1" applyBorder="1" applyAlignment="1">
      <alignment horizontal="center" wrapText="1"/>
    </xf>
    <xf numFmtId="0" fontId="15" fillId="13" borderId="117" xfId="0" applyFont="1" applyFill="1" applyBorder="1" applyAlignment="1">
      <alignment horizontal="center" wrapText="1"/>
    </xf>
    <xf numFmtId="0" fontId="27" fillId="13" borderId="122" xfId="0" applyFont="1" applyFill="1" applyBorder="1" applyAlignment="1">
      <alignment horizontal="left" wrapText="1"/>
    </xf>
    <xf numFmtId="0" fontId="28" fillId="13" borderId="123" xfId="0" applyFont="1" applyFill="1" applyBorder="1" applyAlignment="1">
      <alignment horizontal="center" wrapText="1"/>
    </xf>
    <xf numFmtId="0" fontId="28" fillId="13" borderId="117" xfId="0" applyFont="1" applyFill="1" applyBorder="1" applyAlignment="1">
      <alignment horizontal="center" wrapText="1"/>
    </xf>
    <xf numFmtId="0" fontId="28" fillId="13" borderId="120" xfId="0" applyFont="1" applyFill="1" applyBorder="1" applyAlignment="1">
      <alignment horizontal="center" wrapText="1"/>
    </xf>
    <xf numFmtId="0" fontId="28" fillId="12" borderId="123" xfId="0" applyFont="1" applyFill="1" applyBorder="1" applyAlignment="1">
      <alignment horizontal="center" wrapText="1"/>
    </xf>
    <xf numFmtId="0" fontId="28" fillId="12" borderId="124" xfId="0" applyFont="1" applyFill="1" applyBorder="1" applyAlignment="1">
      <alignment horizontal="center" wrapText="1"/>
    </xf>
    <xf numFmtId="0" fontId="28" fillId="12" borderId="125" xfId="0" applyFont="1" applyFill="1" applyBorder="1" applyAlignment="1">
      <alignment horizontal="center" wrapText="1"/>
    </xf>
    <xf numFmtId="0" fontId="28" fillId="12" borderId="127" xfId="0" applyFont="1" applyFill="1" applyBorder="1" applyAlignment="1">
      <alignment horizontal="center" wrapText="1"/>
    </xf>
    <xf numFmtId="0" fontId="27" fillId="12" borderId="118" xfId="0" applyFont="1" applyFill="1" applyBorder="1" applyAlignment="1">
      <alignment horizontal="left" wrapText="1"/>
    </xf>
    <xf numFmtId="0" fontId="36" fillId="12" borderId="119" xfId="0" applyFont="1" applyFill="1" applyBorder="1" applyAlignment="1">
      <alignment horizontal="center" wrapText="1"/>
    </xf>
    <xf numFmtId="0" fontId="28" fillId="12" borderId="128" xfId="0" applyFont="1" applyFill="1" applyBorder="1" applyAlignment="1">
      <alignment horizontal="center" wrapText="1"/>
    </xf>
    <xf numFmtId="0" fontId="27" fillId="12" borderId="122" xfId="0" applyFont="1" applyFill="1" applyBorder="1" applyAlignment="1">
      <alignment horizontal="left" wrapText="1"/>
    </xf>
    <xf numFmtId="0" fontId="27" fillId="11" borderId="122" xfId="0" applyFont="1" applyFill="1" applyBorder="1" applyAlignment="1">
      <alignment horizontal="left" wrapText="1"/>
    </xf>
    <xf numFmtId="0" fontId="36" fillId="11" borderId="119" xfId="0" applyFont="1" applyFill="1" applyBorder="1" applyAlignment="1">
      <alignment horizontal="center" wrapText="1"/>
    </xf>
    <xf numFmtId="0" fontId="18" fillId="0" borderId="100" xfId="0" applyFont="1" applyBorder="1" applyAlignment="1">
      <alignment horizontal="center" vertical="center" wrapText="1"/>
    </xf>
    <xf numFmtId="0" fontId="18" fillId="0" borderId="38" xfId="0" applyFont="1" applyBorder="1" applyAlignment="1">
      <alignment horizontal="center" vertical="center" wrapText="1"/>
    </xf>
    <xf numFmtId="0" fontId="1" fillId="0" borderId="41"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42" xfId="0" applyFill="1" applyBorder="1" applyAlignment="1">
      <alignment horizontal="center" vertical="center" wrapText="1"/>
    </xf>
    <xf numFmtId="0" fontId="28" fillId="11" borderId="123" xfId="0" applyFont="1" applyFill="1" applyBorder="1" applyAlignment="1">
      <alignment horizontal="center" wrapText="1"/>
    </xf>
    <xf numFmtId="0" fontId="31" fillId="0" borderId="38" xfId="0" applyFont="1" applyBorder="1" applyAlignment="1">
      <alignment horizontal="center" vertical="center" wrapText="1"/>
    </xf>
    <xf numFmtId="0" fontId="1" fillId="0" borderId="41" xfId="0" applyFont="1" applyBorder="1" applyAlignment="1">
      <alignment horizontal="left" vertical="top"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 fillId="0" borderId="41" xfId="0" applyFont="1" applyBorder="1" applyAlignment="1">
      <alignment horizontal="center" vertical="center" wrapText="1"/>
    </xf>
    <xf numFmtId="0" fontId="1" fillId="0" borderId="100" xfId="0" applyFont="1" applyBorder="1" applyAlignment="1">
      <alignment horizontal="left" vertical="top" wrapText="1"/>
    </xf>
    <xf numFmtId="0" fontId="0" fillId="0" borderId="100" xfId="0" applyBorder="1" applyAlignment="1">
      <alignment horizontal="left" vertical="top" wrapText="1"/>
    </xf>
    <xf numFmtId="0" fontId="0" fillId="0" borderId="38" xfId="0" applyBorder="1" applyAlignment="1">
      <alignment horizontal="left" vertical="top" wrapText="1"/>
    </xf>
    <xf numFmtId="0" fontId="1" fillId="0" borderId="100" xfId="0" applyFont="1" applyBorder="1" applyAlignment="1">
      <alignment horizontal="center" vertical="top" wrapText="1"/>
    </xf>
    <xf numFmtId="0" fontId="1" fillId="0" borderId="41" xfId="0" applyFont="1" applyBorder="1" applyAlignment="1">
      <alignment horizontal="center" vertical="top" wrapText="1"/>
    </xf>
    <xf numFmtId="0" fontId="1" fillId="0" borderId="38" xfId="0" applyFont="1" applyBorder="1" applyAlignment="1">
      <alignment horizontal="center" vertical="top" wrapText="1"/>
    </xf>
    <xf numFmtId="0" fontId="1" fillId="0" borderId="42" xfId="0" applyFont="1" applyBorder="1" applyAlignment="1">
      <alignment horizontal="center" vertical="top" wrapText="1"/>
    </xf>
    <xf numFmtId="0" fontId="13" fillId="3" borderId="117" xfId="0" applyFont="1" applyFill="1" applyBorder="1" applyAlignment="1">
      <alignment horizontal="center" wrapText="1"/>
    </xf>
    <xf numFmtId="0" fontId="13" fillId="3" borderId="120" xfId="0" applyFont="1" applyFill="1" applyBorder="1" applyAlignment="1">
      <alignment horizontal="center" wrapText="1"/>
    </xf>
    <xf numFmtId="0" fontId="27" fillId="6" borderId="122" xfId="0" applyFont="1" applyFill="1" applyBorder="1" applyAlignment="1">
      <alignment horizontal="left"/>
    </xf>
    <xf numFmtId="0" fontId="28" fillId="6" borderId="123" xfId="0" applyFont="1" applyFill="1" applyBorder="1" applyAlignment="1">
      <alignment horizontal="left" wrapText="1"/>
    </xf>
    <xf numFmtId="0" fontId="1" fillId="0" borderId="93"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28" fillId="0" borderId="78" xfId="0" applyFont="1" applyBorder="1" applyAlignment="1">
      <alignment horizontal="left" vertical="top" wrapText="1"/>
    </xf>
    <xf numFmtId="0" fontId="28" fillId="0" borderId="18" xfId="0" applyFont="1" applyBorder="1" applyAlignment="1">
      <alignment horizontal="left" vertical="top" wrapText="1"/>
    </xf>
    <xf numFmtId="0" fontId="28" fillId="0" borderId="26" xfId="0" applyFont="1" applyBorder="1" applyAlignment="1">
      <alignment horizontal="left" vertical="top" wrapText="1"/>
    </xf>
    <xf numFmtId="0" fontId="28" fillId="0" borderId="103" xfId="0" applyFont="1" applyBorder="1" applyAlignment="1">
      <alignment horizontal="left" vertical="center" wrapText="1"/>
    </xf>
    <xf numFmtId="0" fontId="28" fillId="0" borderId="101" xfId="0" applyFont="1" applyBorder="1" applyAlignment="1">
      <alignment horizontal="left" vertical="center" wrapText="1"/>
    </xf>
    <xf numFmtId="0" fontId="28" fillId="0" borderId="104" xfId="0" applyFont="1" applyBorder="1" applyAlignment="1">
      <alignment horizontal="left" vertical="center" wrapText="1"/>
    </xf>
    <xf numFmtId="0" fontId="18" fillId="0" borderId="100" xfId="0" applyFont="1" applyFill="1" applyBorder="1" applyAlignment="1">
      <alignment horizontal="left" vertical="center" wrapText="1"/>
    </xf>
    <xf numFmtId="0" fontId="0" fillId="0" borderId="41" xfId="0" applyFill="1" applyBorder="1" applyAlignment="1">
      <alignment vertical="center" wrapText="1"/>
    </xf>
    <xf numFmtId="0" fontId="15" fillId="0" borderId="100" xfId="0" applyFont="1" applyFill="1" applyBorder="1" applyAlignment="1">
      <alignment horizontal="left" vertical="center" wrapText="1"/>
    </xf>
    <xf numFmtId="0" fontId="15" fillId="0" borderId="38" xfId="0" applyFont="1" applyFill="1" applyBorder="1" applyAlignment="1">
      <alignment horizontal="left" vertical="center" wrapText="1"/>
    </xf>
    <xf numFmtId="0" fontId="0" fillId="0" borderId="42" xfId="0" applyFill="1" applyBorder="1" applyAlignment="1">
      <alignment vertical="center" wrapText="1"/>
    </xf>
    <xf numFmtId="0" fontId="31" fillId="0" borderId="100" xfId="0" applyFont="1" applyFill="1" applyBorder="1" applyAlignment="1">
      <alignment horizontal="left" vertical="center" wrapText="1"/>
    </xf>
    <xf numFmtId="0" fontId="28" fillId="0" borderId="100" xfId="0" applyFont="1" applyFill="1" applyBorder="1" applyAlignment="1">
      <alignment horizontal="left" vertical="center" wrapText="1"/>
    </xf>
    <xf numFmtId="0" fontId="28" fillId="0" borderId="38" xfId="0" applyFont="1" applyFill="1" applyBorder="1" applyAlignment="1"/>
    <xf numFmtId="0" fontId="65" fillId="0" borderId="41" xfId="0" applyFont="1" applyBorder="1" applyAlignment="1"/>
    <xf numFmtId="0" fontId="65" fillId="0" borderId="42" xfId="0" applyFont="1" applyBorder="1" applyAlignment="1"/>
    <xf numFmtId="0" fontId="87" fillId="0" borderId="102" xfId="0" applyFont="1" applyBorder="1" applyAlignment="1">
      <alignment horizontal="left" vertical="center" wrapText="1"/>
    </xf>
    <xf numFmtId="0" fontId="88" fillId="0" borderId="93" xfId="0" applyFont="1" applyBorder="1" applyAlignment="1">
      <alignment vertical="center" wrapText="1"/>
    </xf>
    <xf numFmtId="0" fontId="87" fillId="0" borderId="100" xfId="0" applyFont="1" applyBorder="1" applyAlignment="1">
      <alignment horizontal="left" vertical="center" wrapText="1"/>
    </xf>
    <xf numFmtId="0" fontId="88" fillId="0" borderId="41" xfId="0" applyFont="1" applyBorder="1" applyAlignment="1">
      <alignment vertical="center" wrapText="1"/>
    </xf>
    <xf numFmtId="0" fontId="87" fillId="0" borderId="38" xfId="0" applyFont="1" applyBorder="1" applyAlignment="1">
      <alignment horizontal="left" vertical="center" wrapText="1"/>
    </xf>
    <xf numFmtId="0" fontId="88" fillId="0" borderId="42" xfId="0" applyFont="1" applyBorder="1" applyAlignment="1">
      <alignment vertical="center" wrapText="1"/>
    </xf>
    <xf numFmtId="0" fontId="90" fillId="0" borderId="100" xfId="0" applyFont="1" applyBorder="1" applyAlignment="1">
      <alignment horizontal="left" vertical="center" wrapText="1"/>
    </xf>
    <xf numFmtId="0" fontId="90" fillId="0" borderId="38" xfId="0" applyFont="1" applyBorder="1" applyAlignment="1">
      <alignment horizontal="left" vertical="center" wrapText="1"/>
    </xf>
    <xf numFmtId="0" fontId="88" fillId="0" borderId="78" xfId="0" applyFont="1" applyBorder="1" applyAlignment="1">
      <alignment horizontal="center" vertical="center" wrapText="1"/>
    </xf>
    <xf numFmtId="0" fontId="88" fillId="0" borderId="18" xfId="0" applyFont="1" applyBorder="1" applyAlignment="1">
      <alignment horizontal="center" vertical="center" wrapText="1"/>
    </xf>
    <xf numFmtId="0" fontId="88" fillId="0" borderId="26" xfId="0" applyFont="1" applyBorder="1" applyAlignment="1">
      <alignment horizontal="center" vertical="center" wrapText="1"/>
    </xf>
    <xf numFmtId="0" fontId="94" fillId="13" borderId="122" xfId="0" applyFont="1" applyFill="1" applyBorder="1" applyAlignment="1">
      <alignment horizontal="left"/>
    </xf>
    <xf numFmtId="0" fontId="94" fillId="13" borderId="17" xfId="0" applyFont="1" applyFill="1" applyBorder="1" applyAlignment="1">
      <alignment horizontal="left"/>
    </xf>
    <xf numFmtId="0" fontId="87" fillId="13" borderId="119" xfId="0" applyFont="1" applyFill="1" applyBorder="1" applyAlignment="1">
      <alignment horizontal="center" wrapText="1"/>
    </xf>
    <xf numFmtId="0" fontId="87" fillId="13" borderId="49" xfId="0" applyFont="1" applyFill="1" applyBorder="1" applyAlignment="1">
      <alignment horizontal="center" wrapText="1"/>
    </xf>
    <xf numFmtId="0" fontId="87" fillId="13" borderId="14" xfId="0" applyFont="1" applyFill="1" applyBorder="1" applyAlignment="1">
      <alignment horizontal="left" wrapText="1"/>
    </xf>
    <xf numFmtId="0" fontId="87" fillId="13" borderId="23" xfId="0" applyFont="1" applyFill="1" applyBorder="1" applyAlignment="1">
      <alignment horizontal="left" wrapText="1"/>
    </xf>
    <xf numFmtId="0" fontId="88" fillId="0" borderId="100" xfId="0" applyFont="1" applyBorder="1" applyAlignment="1">
      <alignment horizontal="left" vertical="center" wrapText="1"/>
    </xf>
    <xf numFmtId="0" fontId="88" fillId="0" borderId="41" xfId="0" applyFont="1" applyBorder="1" applyAlignment="1"/>
    <xf numFmtId="0" fontId="88" fillId="0" borderId="38" xfId="0" applyFont="1" applyBorder="1" applyAlignment="1">
      <alignment horizontal="left"/>
    </xf>
    <xf numFmtId="0" fontId="88" fillId="0" borderId="42" xfId="0" applyFont="1" applyBorder="1" applyAlignment="1"/>
    <xf numFmtId="0" fontId="90" fillId="13" borderId="15" xfId="0" applyFont="1" applyFill="1" applyBorder="1" applyAlignment="1">
      <alignment horizontal="center" wrapText="1"/>
    </xf>
    <xf numFmtId="0" fontId="90" fillId="13" borderId="21" xfId="0" applyFont="1" applyFill="1" applyBorder="1" applyAlignment="1">
      <alignment horizontal="center" wrapText="1"/>
    </xf>
    <xf numFmtId="0" fontId="90" fillId="13" borderId="34" xfId="0" applyFont="1" applyFill="1" applyBorder="1" applyAlignment="1">
      <alignment horizontal="center" wrapText="1"/>
    </xf>
    <xf numFmtId="0" fontId="90" fillId="13" borderId="117" xfId="0" applyFont="1" applyFill="1" applyBorder="1" applyAlignment="1">
      <alignment horizontal="center" wrapText="1"/>
    </xf>
    <xf numFmtId="0" fontId="90" fillId="13" borderId="57" xfId="0" applyFont="1" applyFill="1" applyBorder="1" applyAlignment="1">
      <alignment horizontal="center" wrapText="1"/>
    </xf>
    <xf numFmtId="0" fontId="90" fillId="13" borderId="39" xfId="0" applyFont="1" applyFill="1" applyBorder="1" applyAlignment="1">
      <alignment horizontal="center" wrapText="1"/>
    </xf>
    <xf numFmtId="0" fontId="90" fillId="13" borderId="16" xfId="0" applyFont="1" applyFill="1" applyBorder="1" applyAlignment="1">
      <alignment horizontal="center" wrapText="1"/>
    </xf>
    <xf numFmtId="0" fontId="88" fillId="12" borderId="128" xfId="0" applyFont="1" applyFill="1" applyBorder="1" applyAlignment="1">
      <alignment horizontal="center" wrapText="1"/>
    </xf>
    <xf numFmtId="0" fontId="88" fillId="12" borderId="73" xfId="0" applyFont="1" applyFill="1" applyBorder="1" applyAlignment="1">
      <alignment horizontal="center" wrapText="1"/>
    </xf>
    <xf numFmtId="0" fontId="88" fillId="13" borderId="123" xfId="0" applyFont="1" applyFill="1" applyBorder="1" applyAlignment="1">
      <alignment horizontal="center" wrapText="1"/>
    </xf>
    <xf numFmtId="0" fontId="88" fillId="13" borderId="50" xfId="0" applyFont="1" applyFill="1" applyBorder="1" applyAlignment="1">
      <alignment horizontal="center" wrapText="1"/>
    </xf>
    <xf numFmtId="0" fontId="88" fillId="13" borderId="48" xfId="0" applyFont="1" applyFill="1" applyBorder="1" applyAlignment="1">
      <alignment horizontal="center" wrapText="1"/>
    </xf>
    <xf numFmtId="0" fontId="88" fillId="13" borderId="117" xfId="0" applyFont="1" applyFill="1" applyBorder="1" applyAlignment="1">
      <alignment horizontal="center" wrapText="1"/>
    </xf>
    <xf numFmtId="0" fontId="88" fillId="13" borderId="120" xfId="0" applyFont="1" applyFill="1" applyBorder="1" applyAlignment="1">
      <alignment horizontal="center" wrapText="1"/>
    </xf>
    <xf numFmtId="0" fontId="88" fillId="0" borderId="103" xfId="0" applyFont="1" applyBorder="1" applyAlignment="1">
      <alignment horizontal="left" wrapText="1"/>
    </xf>
    <xf numFmtId="0" fontId="88" fillId="0" borderId="93" xfId="0" applyFont="1" applyBorder="1" applyAlignment="1">
      <alignment wrapText="1"/>
    </xf>
    <xf numFmtId="0" fontId="88" fillId="0" borderId="101" xfId="0" applyFont="1" applyBorder="1" applyAlignment="1">
      <alignment horizontal="left" wrapText="1"/>
    </xf>
    <xf numFmtId="0" fontId="88" fillId="0" borderId="41" xfId="0" applyFont="1" applyBorder="1" applyAlignment="1">
      <alignment wrapText="1"/>
    </xf>
    <xf numFmtId="0" fontId="88" fillId="0" borderId="104" xfId="0" applyFont="1" applyBorder="1" applyAlignment="1">
      <alignment horizontal="left" wrapText="1"/>
    </xf>
    <xf numFmtId="0" fontId="88" fillId="0" borderId="42" xfId="0" applyFont="1" applyBorder="1" applyAlignment="1">
      <alignment wrapText="1"/>
    </xf>
    <xf numFmtId="0" fontId="94" fillId="12" borderId="118" xfId="0" applyFont="1" applyFill="1" applyBorder="1" applyAlignment="1">
      <alignment horizontal="left" wrapText="1"/>
    </xf>
    <xf numFmtId="0" fontId="94" fillId="12" borderId="100" xfId="0" applyFont="1" applyFill="1" applyBorder="1" applyAlignment="1">
      <alignment horizontal="left" wrapText="1"/>
    </xf>
    <xf numFmtId="0" fontId="87" fillId="12" borderId="119" xfId="0" applyFont="1" applyFill="1" applyBorder="1" applyAlignment="1">
      <alignment horizontal="center" wrapText="1"/>
    </xf>
    <xf numFmtId="0" fontId="87" fillId="12" borderId="18" xfId="0" applyFont="1" applyFill="1" applyBorder="1" applyAlignment="1">
      <alignment horizontal="center" wrapText="1"/>
    </xf>
    <xf numFmtId="0" fontId="88" fillId="12" borderId="123" xfId="0" applyFont="1" applyFill="1" applyBorder="1" applyAlignment="1">
      <alignment horizontal="center" wrapText="1"/>
    </xf>
    <xf numFmtId="0" fontId="88" fillId="12" borderId="50" xfId="0" applyFont="1" applyFill="1" applyBorder="1" applyAlignment="1">
      <alignment horizontal="center" wrapText="1"/>
    </xf>
    <xf numFmtId="0" fontId="88" fillId="12" borderId="124" xfId="0" applyFont="1" applyFill="1" applyBorder="1" applyAlignment="1">
      <alignment horizontal="center" wrapText="1"/>
    </xf>
    <xf numFmtId="0" fontId="88" fillId="12" borderId="125" xfId="0" applyFont="1" applyFill="1" applyBorder="1" applyAlignment="1">
      <alignment horizontal="center" wrapText="1"/>
    </xf>
    <xf numFmtId="0" fontId="88" fillId="12" borderId="127" xfId="0" applyFont="1" applyFill="1" applyBorder="1" applyAlignment="1">
      <alignment horizontal="center" wrapText="1"/>
    </xf>
    <xf numFmtId="0" fontId="88" fillId="0" borderId="38" xfId="0" applyFont="1" applyBorder="1" applyAlignment="1"/>
    <xf numFmtId="0" fontId="94" fillId="11" borderId="122" xfId="0" applyFont="1" applyFill="1" applyBorder="1" applyAlignment="1">
      <alignment horizontal="left" wrapText="1"/>
    </xf>
    <xf numFmtId="0" fontId="94" fillId="11" borderId="17" xfId="0" applyFont="1" applyFill="1" applyBorder="1" applyAlignment="1">
      <alignment horizontal="left" wrapText="1"/>
    </xf>
    <xf numFmtId="0" fontId="87" fillId="11" borderId="119" xfId="0" applyFont="1" applyFill="1" applyBorder="1" applyAlignment="1">
      <alignment horizontal="center" wrapText="1"/>
    </xf>
    <xf numFmtId="0" fontId="87" fillId="11" borderId="18" xfId="0" applyFont="1" applyFill="1" applyBorder="1" applyAlignment="1">
      <alignment horizontal="center" wrapText="1"/>
    </xf>
    <xf numFmtId="0" fontId="88" fillId="11" borderId="123" xfId="0" applyFont="1" applyFill="1" applyBorder="1" applyAlignment="1">
      <alignment horizontal="center" wrapText="1"/>
    </xf>
    <xf numFmtId="0" fontId="88" fillId="11" borderId="50" xfId="0" applyFont="1" applyFill="1" applyBorder="1" applyAlignment="1">
      <alignment horizontal="center" wrapText="1"/>
    </xf>
    <xf numFmtId="0" fontId="88" fillId="11" borderId="47" xfId="0" applyFont="1" applyFill="1" applyBorder="1" applyAlignment="1">
      <alignment horizontal="center" wrapText="1"/>
    </xf>
    <xf numFmtId="0" fontId="88" fillId="11" borderId="51" xfId="0" applyFont="1" applyFill="1" applyBorder="1" applyAlignment="1">
      <alignment horizontal="center" wrapText="1"/>
    </xf>
    <xf numFmtId="0" fontId="94" fillId="12" borderId="122" xfId="0" applyFont="1" applyFill="1" applyBorder="1" applyAlignment="1">
      <alignment horizontal="left" wrapText="1"/>
    </xf>
    <xf numFmtId="0" fontId="94" fillId="12" borderId="17" xfId="0" applyFont="1" applyFill="1" applyBorder="1" applyAlignment="1">
      <alignment horizontal="left" wrapText="1"/>
    </xf>
    <xf numFmtId="0" fontId="88" fillId="11" borderId="12" xfId="0" applyFont="1" applyFill="1" applyBorder="1" applyAlignment="1">
      <alignment horizontal="center" wrapText="1"/>
    </xf>
    <xf numFmtId="0" fontId="88" fillId="11" borderId="57" xfId="0" applyFont="1" applyFill="1" applyBorder="1" applyAlignment="1">
      <alignment horizontal="center" wrapText="1"/>
    </xf>
    <xf numFmtId="0" fontId="97" fillId="0" borderId="100" xfId="0" applyFont="1" applyBorder="1" applyAlignment="1">
      <alignment horizontal="left" vertical="center" wrapText="1"/>
    </xf>
    <xf numFmtId="0" fontId="93" fillId="0" borderId="100" xfId="0" applyFont="1" applyBorder="1" applyAlignment="1">
      <alignment horizontal="left" vertical="center" wrapText="1"/>
    </xf>
    <xf numFmtId="0" fontId="93" fillId="0" borderId="38" xfId="0" applyFont="1" applyBorder="1" applyAlignment="1"/>
    <xf numFmtId="0" fontId="94" fillId="6" borderId="47" xfId="0" applyFont="1" applyFill="1" applyBorder="1" applyAlignment="1">
      <alignment horizontal="center" wrapText="1"/>
    </xf>
    <xf numFmtId="0" fontId="94" fillId="6" borderId="51" xfId="0" applyFont="1" applyFill="1" applyBorder="1" applyAlignment="1">
      <alignment horizontal="center" wrapText="1"/>
    </xf>
    <xf numFmtId="0" fontId="87" fillId="0" borderId="0" xfId="0" applyFont="1" applyAlignment="1"/>
    <xf numFmtId="0" fontId="88" fillId="0" borderId="0" xfId="0" applyFont="1" applyAlignment="1"/>
    <xf numFmtId="0" fontId="88" fillId="2" borderId="115" xfId="0" applyFont="1" applyFill="1" applyBorder="1" applyAlignment="1">
      <alignment horizontal="center"/>
    </xf>
    <xf numFmtId="0" fontId="88" fillId="2" borderId="116" xfId="0" applyFont="1" applyFill="1" applyBorder="1" applyAlignment="1">
      <alignment horizontal="center"/>
    </xf>
    <xf numFmtId="0" fontId="90" fillId="2" borderId="4" xfId="0" applyFont="1" applyFill="1" applyBorder="1" applyAlignment="1">
      <alignment horizontal="left" vertical="top" wrapText="1"/>
    </xf>
    <xf numFmtId="0" fontId="90" fillId="2" borderId="0" xfId="0" applyFont="1" applyFill="1" applyBorder="1" applyAlignment="1">
      <alignment horizontal="left" vertical="top" wrapText="1"/>
    </xf>
    <xf numFmtId="0" fontId="90" fillId="2" borderId="5" xfId="0" applyFont="1" applyFill="1" applyBorder="1" applyAlignment="1">
      <alignment horizontal="left" vertical="top" wrapText="1"/>
    </xf>
    <xf numFmtId="0" fontId="90" fillId="2" borderId="6" xfId="0" applyFont="1" applyFill="1" applyBorder="1" applyAlignment="1">
      <alignment horizontal="left" vertical="top" wrapText="1"/>
    </xf>
    <xf numFmtId="0" fontId="90" fillId="2" borderId="7" xfId="0" applyFont="1" applyFill="1" applyBorder="1" applyAlignment="1">
      <alignment horizontal="left" vertical="top" wrapText="1"/>
    </xf>
    <xf numFmtId="0" fontId="90" fillId="2" borderId="8" xfId="0" applyFont="1" applyFill="1" applyBorder="1" applyAlignment="1">
      <alignment horizontal="left" vertical="top" wrapText="1"/>
    </xf>
    <xf numFmtId="0" fontId="87" fillId="3" borderId="12" xfId="0" applyFont="1" applyFill="1" applyBorder="1" applyAlignment="1">
      <alignment horizontal="center" wrapText="1"/>
    </xf>
    <xf numFmtId="0" fontId="87" fillId="3" borderId="117" xfId="0" applyFont="1" applyFill="1" applyBorder="1" applyAlignment="1">
      <alignment horizontal="center" wrapText="1"/>
    </xf>
    <xf numFmtId="0" fontId="87" fillId="3" borderId="35" xfId="0" applyFont="1" applyFill="1" applyBorder="1" applyAlignment="1">
      <alignment horizontal="center" wrapText="1"/>
    </xf>
    <xf numFmtId="0" fontId="87" fillId="3" borderId="120" xfId="0" applyFont="1" applyFill="1" applyBorder="1" applyAlignment="1">
      <alignment horizontal="center" wrapText="1"/>
    </xf>
    <xf numFmtId="0" fontId="93" fillId="0" borderId="41" xfId="0" applyFont="1" applyBorder="1" applyAlignment="1">
      <alignment vertical="center" wrapText="1"/>
    </xf>
    <xf numFmtId="0" fontId="93" fillId="0" borderId="38" xfId="0" applyFont="1" applyBorder="1" applyAlignment="1">
      <alignment horizontal="left" vertical="center" wrapText="1"/>
    </xf>
    <xf numFmtId="0" fontId="93" fillId="0" borderId="42" xfId="0" applyFont="1" applyBorder="1" applyAlignment="1">
      <alignment vertical="center" wrapText="1"/>
    </xf>
    <xf numFmtId="0" fontId="90" fillId="0" borderId="102" xfId="0" applyFont="1" applyBorder="1" applyAlignment="1">
      <alignment horizontal="left" vertical="center" wrapText="1"/>
    </xf>
    <xf numFmtId="0" fontId="94" fillId="6" borderId="122" xfId="0" applyFont="1" applyFill="1" applyBorder="1" applyAlignment="1">
      <alignment horizontal="left"/>
    </xf>
    <xf numFmtId="0" fontId="94" fillId="6" borderId="17" xfId="0" applyFont="1" applyFill="1" applyBorder="1" applyAlignment="1">
      <alignment horizontal="left"/>
    </xf>
    <xf numFmtId="0" fontId="88" fillId="6" borderId="123" xfId="0" applyFont="1" applyFill="1" applyBorder="1" applyAlignment="1">
      <alignment horizontal="left" wrapText="1"/>
    </xf>
    <xf numFmtId="0" fontId="88" fillId="6" borderId="50" xfId="0" applyFont="1" applyFill="1" applyBorder="1" applyAlignment="1">
      <alignment horizontal="left" wrapText="1"/>
    </xf>
    <xf numFmtId="0" fontId="65" fillId="0" borderId="78" xfId="0" applyFont="1" applyBorder="1" applyAlignment="1">
      <alignment horizontal="center" vertical="center" wrapText="1"/>
    </xf>
    <xf numFmtId="0" fontId="65" fillId="0" borderId="18" xfId="0" applyFont="1" applyBorder="1" applyAlignment="1">
      <alignment horizontal="center" vertical="center" wrapText="1"/>
    </xf>
    <xf numFmtId="0" fontId="65" fillId="0" borderId="26" xfId="0" applyFont="1" applyBorder="1" applyAlignment="1">
      <alignment horizontal="center" vertical="center" wrapText="1"/>
    </xf>
    <xf numFmtId="0" fontId="12" fillId="13" borderId="14" xfId="0" applyFont="1" applyFill="1" applyBorder="1" applyAlignment="1">
      <alignment horizontal="left" vertical="center"/>
    </xf>
    <xf numFmtId="0" fontId="12" fillId="13" borderId="23" xfId="0" applyFont="1" applyFill="1" applyBorder="1" applyAlignment="1">
      <alignment horizontal="left" vertical="center"/>
    </xf>
    <xf numFmtId="0" fontId="12" fillId="13" borderId="119" xfId="0" applyFont="1" applyFill="1" applyBorder="1" applyAlignment="1">
      <alignment horizontal="center" vertical="center" wrapText="1"/>
    </xf>
    <xf numFmtId="0" fontId="12" fillId="13" borderId="49" xfId="0" applyFont="1" applyFill="1" applyBorder="1" applyAlignment="1">
      <alignment horizontal="center" vertical="center" wrapText="1"/>
    </xf>
    <xf numFmtId="0" fontId="15" fillId="13" borderId="15" xfId="0" applyFont="1" applyFill="1" applyBorder="1" applyAlignment="1">
      <alignment horizontal="center" vertical="center" wrapText="1"/>
    </xf>
    <xf numFmtId="0" fontId="15" fillId="13" borderId="21" xfId="0" applyFont="1" applyFill="1" applyBorder="1" applyAlignment="1">
      <alignment horizontal="center" vertical="center" wrapText="1"/>
    </xf>
    <xf numFmtId="0" fontId="21" fillId="0" borderId="102" xfId="0" applyFont="1" applyBorder="1" applyAlignment="1">
      <alignment horizontal="left" vertical="top" wrapText="1"/>
    </xf>
    <xf numFmtId="0" fontId="65" fillId="0" borderId="93" xfId="0" applyFont="1" applyBorder="1" applyAlignment="1">
      <alignment vertical="top" wrapText="1"/>
    </xf>
    <xf numFmtId="0" fontId="23" fillId="0" borderId="100" xfId="0" applyFont="1" applyBorder="1" applyAlignment="1">
      <alignment horizontal="left" vertical="top" wrapText="1"/>
    </xf>
    <xf numFmtId="0" fontId="65" fillId="0" borderId="41" xfId="0" applyFont="1" applyBorder="1" applyAlignment="1">
      <alignment vertical="top" wrapText="1"/>
    </xf>
    <xf numFmtId="0" fontId="23" fillId="0" borderId="38" xfId="0" applyFont="1" applyBorder="1" applyAlignment="1">
      <alignment horizontal="left" vertical="top" wrapText="1"/>
    </xf>
    <xf numFmtId="0" fontId="65" fillId="0" borderId="42" xfId="0" applyFont="1" applyBorder="1" applyAlignment="1">
      <alignment vertical="top" wrapText="1"/>
    </xf>
    <xf numFmtId="0" fontId="27" fillId="13" borderId="122" xfId="0" applyFont="1" applyFill="1" applyBorder="1" applyAlignment="1">
      <alignment horizontal="left" vertical="center" wrapText="1"/>
    </xf>
    <xf numFmtId="0" fontId="27" fillId="13" borderId="17" xfId="0" applyFont="1" applyFill="1" applyBorder="1" applyAlignment="1">
      <alignment horizontal="left" vertical="center" wrapText="1"/>
    </xf>
    <xf numFmtId="0" fontId="28" fillId="13" borderId="123" xfId="0" applyFont="1" applyFill="1" applyBorder="1" applyAlignment="1">
      <alignment horizontal="center" vertical="center" wrapText="1"/>
    </xf>
    <xf numFmtId="0" fontId="28" fillId="13" borderId="50" xfId="0" applyFont="1" applyFill="1" applyBorder="1" applyAlignment="1">
      <alignment horizontal="center" vertical="center" wrapText="1"/>
    </xf>
    <xf numFmtId="0" fontId="85" fillId="0" borderId="100" xfId="0" applyFont="1" applyBorder="1" applyAlignment="1">
      <alignment horizontal="left" vertical="top" wrapText="1"/>
    </xf>
    <xf numFmtId="0" fontId="2" fillId="0" borderId="41" xfId="0" applyFont="1" applyBorder="1" applyAlignment="1">
      <alignment vertical="top"/>
    </xf>
    <xf numFmtId="0" fontId="100" fillId="0" borderId="100" xfId="0" applyFont="1" applyBorder="1" applyAlignment="1">
      <alignment horizontal="left" vertical="top" wrapText="1"/>
    </xf>
    <xf numFmtId="0" fontId="100" fillId="0" borderId="38" xfId="0" applyFont="1" applyBorder="1" applyAlignment="1">
      <alignment horizontal="left" vertical="top"/>
    </xf>
    <xf numFmtId="0" fontId="2" fillId="0" borderId="42" xfId="0" applyFont="1" applyBorder="1" applyAlignment="1">
      <alignment vertical="top"/>
    </xf>
    <xf numFmtId="0" fontId="27" fillId="11" borderId="122" xfId="0" applyFont="1" applyFill="1" applyBorder="1" applyAlignment="1">
      <alignment horizontal="left" vertical="center" wrapText="1"/>
    </xf>
    <xf numFmtId="0" fontId="27" fillId="11" borderId="17" xfId="0" applyFont="1" applyFill="1" applyBorder="1" applyAlignment="1">
      <alignment horizontal="left" vertical="center" wrapText="1"/>
    </xf>
    <xf numFmtId="0" fontId="36" fillId="11" borderId="119" xfId="0" applyFont="1" applyFill="1" applyBorder="1" applyAlignment="1">
      <alignment horizontal="center" vertical="center" wrapText="1"/>
    </xf>
    <xf numFmtId="0" fontId="12" fillId="11" borderId="18" xfId="0" applyFont="1" applyFill="1" applyBorder="1" applyAlignment="1">
      <alignment horizontal="center" vertical="center" wrapText="1"/>
    </xf>
    <xf numFmtId="0" fontId="84" fillId="0" borderId="100" xfId="0" applyFont="1" applyBorder="1" applyAlignment="1">
      <alignment horizontal="left" vertical="center" wrapText="1"/>
    </xf>
    <xf numFmtId="0" fontId="65" fillId="0" borderId="41" xfId="0" applyFont="1" applyBorder="1" applyAlignment="1">
      <alignment horizontal="left"/>
    </xf>
    <xf numFmtId="0" fontId="84" fillId="0" borderId="38" xfId="0" applyFont="1" applyBorder="1" applyAlignment="1">
      <alignment horizontal="left"/>
    </xf>
    <xf numFmtId="0" fontId="65" fillId="0" borderId="42" xfId="0" applyFont="1" applyBorder="1" applyAlignment="1">
      <alignment horizontal="left"/>
    </xf>
    <xf numFmtId="0" fontId="28" fillId="11" borderId="123" xfId="0" applyFont="1" applyFill="1" applyBorder="1" applyAlignment="1">
      <alignment horizontal="center" vertical="center" wrapText="1"/>
    </xf>
    <xf numFmtId="0" fontId="28" fillId="11" borderId="50" xfId="0" applyFont="1" applyFill="1" applyBorder="1" applyAlignment="1">
      <alignment horizontal="center" vertical="center" wrapText="1"/>
    </xf>
    <xf numFmtId="0" fontId="0" fillId="0" borderId="41" xfId="0" applyBorder="1" applyAlignment="1">
      <alignment horizontal="left"/>
    </xf>
    <xf numFmtId="0" fontId="0" fillId="0" borderId="42" xfId="0" applyBorder="1" applyAlignment="1">
      <alignment horizontal="left"/>
    </xf>
    <xf numFmtId="0" fontId="65" fillId="0" borderId="38" xfId="0" applyFont="1" applyBorder="1" applyAlignment="1"/>
    <xf numFmtId="0" fontId="84" fillId="0" borderId="100" xfId="0" applyFont="1" applyBorder="1" applyAlignment="1">
      <alignment horizontal="left" vertical="top" wrapText="1"/>
    </xf>
    <xf numFmtId="0" fontId="65" fillId="0" borderId="41" xfId="0" applyFont="1" applyBorder="1" applyAlignment="1">
      <alignment vertical="top"/>
    </xf>
    <xf numFmtId="0" fontId="65" fillId="0" borderId="38" xfId="0" applyFont="1" applyBorder="1" applyAlignment="1">
      <alignment vertical="top"/>
    </xf>
    <xf numFmtId="0" fontId="65" fillId="0" borderId="42" xfId="0" applyFont="1" applyBorder="1" applyAlignment="1">
      <alignment vertical="top"/>
    </xf>
    <xf numFmtId="0" fontId="29" fillId="6" borderId="47" xfId="0" applyFont="1" applyFill="1" applyBorder="1" applyAlignment="1">
      <alignment horizontal="center" vertical="center" wrapText="1"/>
    </xf>
    <xf numFmtId="0" fontId="29" fillId="6" borderId="51" xfId="0" applyFont="1" applyFill="1" applyBorder="1" applyAlignment="1">
      <alignment horizontal="center" vertical="center" wrapText="1"/>
    </xf>
    <xf numFmtId="0" fontId="21" fillId="0" borderId="100" xfId="0" applyFont="1" applyBorder="1" applyAlignment="1">
      <alignment horizontal="left" vertical="top" wrapText="1"/>
    </xf>
    <xf numFmtId="0" fontId="21" fillId="0" borderId="38" xfId="0" applyFont="1" applyBorder="1" applyAlignment="1">
      <alignment horizontal="left" vertical="top" wrapText="1"/>
    </xf>
    <xf numFmtId="0" fontId="2" fillId="0" borderId="41" xfId="0" applyFont="1" applyFill="1" applyBorder="1" applyAlignment="1">
      <alignment vertical="center" wrapText="1"/>
    </xf>
    <xf numFmtId="0" fontId="74" fillId="0" borderId="100" xfId="0" applyFont="1" applyFill="1" applyBorder="1" applyAlignment="1">
      <alignment horizontal="left" vertical="center" wrapText="1"/>
    </xf>
    <xf numFmtId="0" fontId="74" fillId="0" borderId="38" xfId="0" applyFont="1" applyFill="1" applyBorder="1" applyAlignment="1">
      <alignment horizontal="left" vertical="center" wrapText="1"/>
    </xf>
    <xf numFmtId="0" fontId="2" fillId="0" borderId="42" xfId="0" applyFont="1" applyFill="1" applyBorder="1" applyAlignment="1">
      <alignment vertical="center" wrapText="1"/>
    </xf>
    <xf numFmtId="0" fontId="21" fillId="0" borderId="102" xfId="0" applyFont="1" applyBorder="1" applyAlignment="1">
      <alignment horizontal="left" vertical="center" wrapText="1"/>
    </xf>
    <xf numFmtId="0" fontId="65" fillId="0" borderId="93" xfId="0" applyFont="1" applyBorder="1" applyAlignment="1">
      <alignment wrapText="1"/>
    </xf>
    <xf numFmtId="0" fontId="65" fillId="0" borderId="41" xfId="0" applyFont="1" applyBorder="1" applyAlignment="1">
      <alignment wrapText="1"/>
    </xf>
    <xf numFmtId="0" fontId="21" fillId="0" borderId="38" xfId="0" applyFont="1" applyBorder="1" applyAlignment="1">
      <alignment horizontal="left" vertical="center" wrapText="1"/>
    </xf>
    <xf numFmtId="0" fontId="65" fillId="0" borderId="42" xfId="0" applyFont="1" applyBorder="1" applyAlignment="1">
      <alignment wrapText="1"/>
    </xf>
    <xf numFmtId="0" fontId="27" fillId="6" borderId="122" xfId="0" applyFont="1" applyFill="1" applyBorder="1" applyAlignment="1">
      <alignment horizontal="left" vertical="center"/>
    </xf>
    <xf numFmtId="0" fontId="27" fillId="6" borderId="17" xfId="0" applyFont="1" applyFill="1" applyBorder="1" applyAlignment="1">
      <alignment horizontal="left" vertical="center"/>
    </xf>
    <xf numFmtId="0" fontId="28" fillId="6" borderId="123" xfId="0" applyFont="1" applyFill="1" applyBorder="1" applyAlignment="1">
      <alignment horizontal="center" vertical="center" wrapText="1"/>
    </xf>
    <xf numFmtId="0" fontId="28" fillId="6" borderId="50" xfId="0" applyFont="1" applyFill="1" applyBorder="1" applyAlignment="1">
      <alignment horizontal="center" vertical="center" wrapText="1"/>
    </xf>
    <xf numFmtId="0" fontId="15" fillId="0" borderId="136" xfId="0" applyFont="1" applyBorder="1" applyAlignment="1">
      <alignment horizontal="left" vertical="center" wrapText="1"/>
    </xf>
    <xf numFmtId="0" fontId="0" fillId="0" borderId="137" xfId="0" applyBorder="1" applyAlignment="1">
      <alignment vertical="center" wrapText="1"/>
    </xf>
    <xf numFmtId="0" fontId="15" fillId="0" borderId="101" xfId="0" applyFont="1" applyBorder="1" applyAlignment="1">
      <alignment horizontal="left" vertical="center" wrapText="1"/>
    </xf>
    <xf numFmtId="0" fontId="0" fillId="0" borderId="138" xfId="0" applyBorder="1" applyAlignment="1">
      <alignment vertical="center" wrapText="1"/>
    </xf>
    <xf numFmtId="0" fontId="15" fillId="0" borderId="139" xfId="0" applyFont="1" applyBorder="1" applyAlignment="1">
      <alignment horizontal="left" vertical="center" wrapText="1"/>
    </xf>
    <xf numFmtId="0" fontId="0" fillId="0" borderId="140" xfId="0" applyBorder="1" applyAlignment="1">
      <alignment vertical="center" wrapText="1"/>
    </xf>
    <xf numFmtId="0" fontId="105" fillId="13" borderId="133" xfId="0" applyFont="1" applyFill="1" applyBorder="1" applyAlignment="1">
      <alignment horizontal="left"/>
    </xf>
    <xf numFmtId="0" fontId="105" fillId="13" borderId="133" xfId="0" applyFont="1" applyFill="1" applyBorder="1" applyAlignment="1">
      <alignment horizontal="center" wrapText="1"/>
    </xf>
    <xf numFmtId="0" fontId="106" fillId="13" borderId="133" xfId="0" applyFont="1" applyFill="1" applyBorder="1" applyAlignment="1">
      <alignment horizontal="center" wrapText="1"/>
    </xf>
    <xf numFmtId="0" fontId="114" fillId="13" borderId="133" xfId="0" applyFont="1" applyFill="1" applyBorder="1" applyAlignment="1">
      <alignment horizontal="center" wrapText="1"/>
    </xf>
    <xf numFmtId="0" fontId="124" fillId="0" borderId="136" xfId="0" applyFont="1" applyBorder="1" applyAlignment="1">
      <alignment horizontal="left" vertical="center" wrapText="1"/>
    </xf>
    <xf numFmtId="0" fontId="124" fillId="0" borderId="137" xfId="0" applyFont="1" applyBorder="1" applyAlignment="1">
      <alignment horizontal="left" vertical="center" wrapText="1"/>
    </xf>
    <xf numFmtId="0" fontId="124" fillId="0" borderId="101" xfId="0" applyFont="1" applyBorder="1" applyAlignment="1">
      <alignment horizontal="left" vertical="center" wrapText="1"/>
    </xf>
    <xf numFmtId="0" fontId="124" fillId="0" borderId="138" xfId="0" applyFont="1" applyBorder="1" applyAlignment="1">
      <alignment horizontal="left" vertical="center" wrapText="1"/>
    </xf>
    <xf numFmtId="0" fontId="124" fillId="0" borderId="139" xfId="0" applyFont="1" applyBorder="1" applyAlignment="1">
      <alignment horizontal="left" vertical="center" wrapText="1"/>
    </xf>
    <xf numFmtId="0" fontId="124" fillId="0" borderId="140" xfId="0" applyFont="1" applyBorder="1" applyAlignment="1">
      <alignment horizontal="left" vertical="center" wrapText="1"/>
    </xf>
    <xf numFmtId="0" fontId="114" fillId="12" borderId="133" xfId="0" applyFont="1" applyFill="1" applyBorder="1" applyAlignment="1">
      <alignment horizontal="center" wrapText="1"/>
    </xf>
    <xf numFmtId="0" fontId="114" fillId="0" borderId="136" xfId="0" applyFont="1" applyBorder="1" applyAlignment="1">
      <alignment horizontal="left" vertical="center" wrapText="1"/>
    </xf>
    <xf numFmtId="0" fontId="55" fillId="0" borderId="137" xfId="0" applyFont="1" applyBorder="1" applyAlignment="1"/>
    <xf numFmtId="0" fontId="114" fillId="0" borderId="101" xfId="0" applyFont="1" applyBorder="1" applyAlignment="1">
      <alignment horizontal="left" vertical="center" wrapText="1"/>
    </xf>
    <xf numFmtId="0" fontId="55" fillId="0" borderId="138" xfId="0" applyFont="1" applyBorder="1" applyAlignment="1"/>
    <xf numFmtId="0" fontId="114" fillId="0" borderId="139" xfId="0" applyFont="1" applyBorder="1" applyAlignment="1">
      <alignment horizontal="left"/>
    </xf>
    <xf numFmtId="0" fontId="55" fillId="0" borderId="140" xfId="0" applyFont="1" applyBorder="1" applyAlignment="1"/>
    <xf numFmtId="0" fontId="112" fillId="12" borderId="133" xfId="0" applyFont="1" applyFill="1" applyBorder="1" applyAlignment="1">
      <alignment horizontal="left" wrapText="1"/>
    </xf>
    <xf numFmtId="0" fontId="118" fillId="12" borderId="133" xfId="0" applyFont="1" applyFill="1" applyBorder="1" applyAlignment="1">
      <alignment horizontal="center" wrapText="1"/>
    </xf>
    <xf numFmtId="0" fontId="84" fillId="0" borderId="136" xfId="0" applyFont="1" applyBorder="1" applyAlignment="1">
      <alignment horizontal="left" wrapText="1"/>
    </xf>
    <xf numFmtId="0" fontId="65" fillId="0" borderId="137" xfId="0" applyFont="1" applyBorder="1" applyAlignment="1">
      <alignment wrapText="1"/>
    </xf>
    <xf numFmtId="0" fontId="84" fillId="0" borderId="101" xfId="0" applyFont="1" applyBorder="1" applyAlignment="1">
      <alignment horizontal="left" wrapText="1"/>
    </xf>
    <xf numFmtId="0" fontId="65" fillId="0" borderId="138" xfId="0" applyFont="1" applyBorder="1" applyAlignment="1">
      <alignment wrapText="1"/>
    </xf>
    <xf numFmtId="0" fontId="84" fillId="0" borderId="139" xfId="0" applyFont="1" applyBorder="1" applyAlignment="1">
      <alignment horizontal="left" wrapText="1"/>
    </xf>
    <xf numFmtId="0" fontId="65" fillId="0" borderId="140" xfId="0" applyFont="1" applyBorder="1" applyAlignment="1">
      <alignment wrapText="1"/>
    </xf>
    <xf numFmtId="0" fontId="112" fillId="13" borderId="133" xfId="0" applyFont="1" applyFill="1" applyBorder="1" applyAlignment="1">
      <alignment horizontal="left" wrapText="1"/>
    </xf>
    <xf numFmtId="0" fontId="112" fillId="11" borderId="133" xfId="0" applyFont="1" applyFill="1" applyBorder="1" applyAlignment="1">
      <alignment horizontal="left" wrapText="1"/>
    </xf>
    <xf numFmtId="0" fontId="118" fillId="11" borderId="133" xfId="0" applyFont="1" applyFill="1" applyBorder="1" applyAlignment="1">
      <alignment horizontal="center" wrapText="1"/>
    </xf>
    <xf numFmtId="0" fontId="105" fillId="11" borderId="133" xfId="0" applyFont="1" applyFill="1" applyBorder="1" applyAlignment="1">
      <alignment horizontal="center" wrapText="1"/>
    </xf>
    <xf numFmtId="0" fontId="112" fillId="11" borderId="132" xfId="0" applyFont="1" applyFill="1" applyBorder="1" applyAlignment="1">
      <alignment horizontal="center" wrapText="1"/>
    </xf>
    <xf numFmtId="0" fontId="112" fillId="11" borderId="142" xfId="0" applyFont="1" applyFill="1" applyBorder="1" applyAlignment="1">
      <alignment horizontal="center" wrapText="1"/>
    </xf>
    <xf numFmtId="0" fontId="107" fillId="0" borderId="136" xfId="0" applyFont="1" applyBorder="1" applyAlignment="1">
      <alignment horizontal="left" vertical="center" wrapText="1"/>
    </xf>
    <xf numFmtId="0" fontId="107" fillId="0" borderId="137" xfId="0" applyFont="1" applyBorder="1" applyAlignment="1">
      <alignment horizontal="left" vertical="center" wrapText="1"/>
    </xf>
    <xf numFmtId="0" fontId="107" fillId="0" borderId="101" xfId="0" applyFont="1" applyBorder="1" applyAlignment="1">
      <alignment horizontal="left" vertical="center" wrapText="1"/>
    </xf>
    <xf numFmtId="0" fontId="107" fillId="0" borderId="138" xfId="0" applyFont="1" applyBorder="1" applyAlignment="1">
      <alignment horizontal="left" vertical="center" wrapText="1"/>
    </xf>
    <xf numFmtId="0" fontId="107" fillId="0" borderId="139" xfId="0" applyFont="1" applyBorder="1" applyAlignment="1">
      <alignment horizontal="left" vertical="center" wrapText="1"/>
    </xf>
    <xf numFmtId="0" fontId="107" fillId="0" borderId="140" xfId="0" applyFont="1" applyBorder="1" applyAlignment="1">
      <alignment horizontal="left" vertical="center" wrapText="1"/>
    </xf>
    <xf numFmtId="0" fontId="112" fillId="12" borderId="133" xfId="0" applyFont="1" applyFill="1" applyBorder="1" applyAlignment="1">
      <alignment horizontal="center" wrapText="1"/>
    </xf>
    <xf numFmtId="0" fontId="114" fillId="0" borderId="139" xfId="0" applyFont="1" applyBorder="1" applyAlignment="1"/>
    <xf numFmtId="0" fontId="112" fillId="11" borderId="133" xfId="0" applyFont="1" applyFill="1" applyBorder="1" applyAlignment="1">
      <alignment horizontal="center" wrapText="1"/>
    </xf>
    <xf numFmtId="0" fontId="114" fillId="11" borderId="133" xfId="0" applyFont="1" applyFill="1" applyBorder="1" applyAlignment="1">
      <alignment horizontal="center" wrapText="1"/>
    </xf>
    <xf numFmtId="0" fontId="121" fillId="7" borderId="132" xfId="0" applyFont="1" applyFill="1" applyBorder="1" applyAlignment="1">
      <alignment horizontal="left" vertical="top" wrapText="1"/>
    </xf>
    <xf numFmtId="0" fontId="121" fillId="7" borderId="134" xfId="0" applyFont="1" applyFill="1" applyBorder="1" applyAlignment="1">
      <alignment horizontal="left" vertical="top" wrapText="1"/>
    </xf>
    <xf numFmtId="0" fontId="121" fillId="7" borderId="142" xfId="0" applyFont="1" applyFill="1" applyBorder="1" applyAlignment="1">
      <alignment horizontal="left" vertical="top" wrapText="1"/>
    </xf>
    <xf numFmtId="0" fontId="114" fillId="0" borderId="138" xfId="0" applyFont="1" applyBorder="1" applyAlignment="1">
      <alignment horizontal="left" vertical="center" wrapText="1"/>
    </xf>
    <xf numFmtId="0" fontId="114" fillId="0" borderId="139" xfId="0" applyFont="1" applyBorder="1" applyAlignment="1">
      <alignment horizontal="center" vertical="center" wrapText="1"/>
    </xf>
    <xf numFmtId="0" fontId="114" fillId="0" borderId="140" xfId="0" applyFont="1" applyBorder="1" applyAlignment="1">
      <alignment horizontal="center" vertical="center" wrapText="1"/>
    </xf>
    <xf numFmtId="0" fontId="116" fillId="0" borderId="136" xfId="0" applyFont="1" applyBorder="1" applyAlignment="1">
      <alignment horizontal="left" vertical="center" wrapText="1"/>
    </xf>
    <xf numFmtId="0" fontId="116" fillId="0" borderId="137" xfId="0" applyFont="1" applyBorder="1" applyAlignment="1">
      <alignment horizontal="left" vertical="center" wrapText="1"/>
    </xf>
    <xf numFmtId="0" fontId="116" fillId="0" borderId="101" xfId="0" applyFont="1" applyBorder="1" applyAlignment="1">
      <alignment horizontal="left" vertical="center" wrapText="1"/>
    </xf>
    <xf numFmtId="0" fontId="116" fillId="0" borderId="138" xfId="0" applyFont="1" applyBorder="1" applyAlignment="1">
      <alignment horizontal="left" vertical="center" wrapText="1"/>
    </xf>
    <xf numFmtId="0" fontId="116" fillId="0" borderId="139" xfId="0" applyFont="1" applyBorder="1" applyAlignment="1">
      <alignment horizontal="left" vertical="center" wrapText="1"/>
    </xf>
    <xf numFmtId="0" fontId="116" fillId="0" borderId="140" xfId="0" applyFont="1" applyBorder="1" applyAlignment="1">
      <alignment horizontal="left" vertical="center" wrapText="1"/>
    </xf>
    <xf numFmtId="0" fontId="117" fillId="0" borderId="136" xfId="0" applyFont="1" applyBorder="1" applyAlignment="1">
      <alignment horizontal="left" vertical="center" wrapText="1"/>
    </xf>
    <xf numFmtId="0" fontId="0" fillId="0" borderId="137" xfId="0" applyBorder="1" applyAlignment="1"/>
    <xf numFmtId="0" fontId="21" fillId="0" borderId="101" xfId="0" applyFont="1" applyBorder="1" applyAlignment="1">
      <alignment horizontal="left" vertical="center" wrapText="1"/>
    </xf>
    <xf numFmtId="0" fontId="0" fillId="0" borderId="138" xfId="0" applyBorder="1" applyAlignment="1"/>
    <xf numFmtId="0" fontId="21" fillId="0" borderId="139" xfId="0" applyFont="1" applyBorder="1" applyAlignment="1"/>
    <xf numFmtId="0" fontId="0" fillId="0" borderId="140" xfId="0" applyBorder="1" applyAlignment="1"/>
    <xf numFmtId="0" fontId="112" fillId="6" borderId="133" xfId="0" applyFont="1" applyFill="1" applyBorder="1" applyAlignment="1">
      <alignment horizontal="center" wrapText="1"/>
    </xf>
    <xf numFmtId="0" fontId="113" fillId="6" borderId="133" xfId="0" applyFont="1" applyFill="1" applyBorder="1" applyAlignment="1">
      <alignment horizontal="center" wrapText="1"/>
    </xf>
    <xf numFmtId="0" fontId="113" fillId="0" borderId="101" xfId="0" applyFont="1" applyBorder="1" applyAlignment="1">
      <alignment horizontal="left" vertical="center" wrapText="1"/>
    </xf>
    <xf numFmtId="0" fontId="106" fillId="0" borderId="101" xfId="0" applyFont="1" applyBorder="1" applyAlignment="1">
      <alignment horizontal="center" vertical="center" wrapText="1"/>
    </xf>
    <xf numFmtId="0" fontId="106" fillId="0" borderId="138" xfId="0" applyFont="1" applyBorder="1" applyAlignment="1">
      <alignment horizontal="center" vertical="center" wrapText="1"/>
    </xf>
    <xf numFmtId="0" fontId="106" fillId="0" borderId="139" xfId="0" applyFont="1" applyBorder="1" applyAlignment="1">
      <alignment horizontal="center" vertical="center" wrapText="1"/>
    </xf>
    <xf numFmtId="0" fontId="106" fillId="0" borderId="140" xfId="0" applyFont="1" applyBorder="1" applyAlignment="1">
      <alignment horizontal="center" vertical="center" wrapText="1"/>
    </xf>
    <xf numFmtId="0" fontId="112" fillId="6" borderId="133" xfId="0" applyFont="1" applyFill="1" applyBorder="1" applyAlignment="1">
      <alignment horizontal="left"/>
    </xf>
    <xf numFmtId="0" fontId="105" fillId="6" borderId="133" xfId="0" applyFont="1" applyFill="1" applyBorder="1" applyAlignment="1">
      <alignment horizontal="center" wrapText="1"/>
    </xf>
    <xf numFmtId="0" fontId="106" fillId="7" borderId="101" xfId="0" applyFont="1" applyFill="1" applyBorder="1" applyAlignment="1">
      <alignment horizontal="left" vertical="center" wrapText="1"/>
    </xf>
    <xf numFmtId="0" fontId="106" fillId="7" borderId="138" xfId="0" applyFont="1" applyFill="1" applyBorder="1" applyAlignment="1">
      <alignment horizontal="left" vertical="center" wrapText="1"/>
    </xf>
    <xf numFmtId="0" fontId="106" fillId="0" borderId="101" xfId="0" applyFont="1" applyBorder="1" applyAlignment="1">
      <alignment horizontal="left" vertical="center" wrapText="1"/>
    </xf>
    <xf numFmtId="0" fontId="106" fillId="0" borderId="138" xfId="0" applyFont="1" applyBorder="1" applyAlignment="1">
      <alignment horizontal="left" vertical="center" wrapText="1"/>
    </xf>
    <xf numFmtId="0" fontId="107" fillId="0" borderId="136" xfId="0" applyFont="1" applyBorder="1" applyAlignment="1">
      <alignment horizontal="left" vertical="top" wrapText="1"/>
    </xf>
    <xf numFmtId="0" fontId="107" fillId="0" borderId="137" xfId="0" applyFont="1" applyBorder="1" applyAlignment="1">
      <alignment horizontal="left" vertical="top" wrapText="1"/>
    </xf>
    <xf numFmtId="0" fontId="107" fillId="0" borderId="101" xfId="0" applyFont="1" applyBorder="1" applyAlignment="1">
      <alignment horizontal="left" vertical="top" wrapText="1"/>
    </xf>
    <xf numFmtId="0" fontId="107" fillId="0" borderId="138" xfId="0" applyFont="1" applyBorder="1" applyAlignment="1">
      <alignment horizontal="left" vertical="top" wrapText="1"/>
    </xf>
    <xf numFmtId="0" fontId="107" fillId="7" borderId="136" xfId="0" applyFont="1" applyFill="1" applyBorder="1" applyAlignment="1">
      <alignment horizontal="left" vertical="center" wrapText="1"/>
    </xf>
    <xf numFmtId="0" fontId="106" fillId="7" borderId="137" xfId="0" applyFont="1" applyFill="1" applyBorder="1" applyAlignment="1">
      <alignment horizontal="left" vertical="center" wrapText="1"/>
    </xf>
    <xf numFmtId="0" fontId="4" fillId="0" borderId="0" xfId="0" applyFont="1" applyAlignment="1">
      <alignment horizontal="center"/>
    </xf>
    <xf numFmtId="0" fontId="105" fillId="3" borderId="133" xfId="0" applyFont="1" applyFill="1" applyBorder="1" applyAlignment="1">
      <alignment horizontal="center" wrapText="1"/>
    </xf>
    <xf numFmtId="0" fontId="106" fillId="7" borderId="136" xfId="0" applyFont="1" applyFill="1" applyBorder="1" applyAlignment="1">
      <alignment horizontal="left" vertical="center" wrapText="1"/>
    </xf>
    <xf numFmtId="167" fontId="53" fillId="0" borderId="148" xfId="3" applyFont="1" applyFill="1" applyBorder="1" applyAlignment="1">
      <alignment horizontal="left" vertical="center" wrapText="1"/>
    </xf>
    <xf numFmtId="167" fontId="136" fillId="0" borderId="148" xfId="3" applyFont="1" applyFill="1" applyBorder="1" applyAlignment="1">
      <alignment horizontal="left" vertical="center" wrapText="1"/>
    </xf>
    <xf numFmtId="0" fontId="65" fillId="0" borderId="157" xfId="0" applyFont="1" applyFill="1" applyBorder="1" applyAlignment="1">
      <alignment vertical="top" wrapText="1"/>
    </xf>
    <xf numFmtId="0" fontId="0" fillId="0" borderId="157" xfId="0" applyFill="1" applyBorder="1" applyAlignment="1">
      <alignment vertical="top" wrapText="1"/>
    </xf>
    <xf numFmtId="167" fontId="150" fillId="0" borderId="148" xfId="3" applyFont="1" applyFill="1" applyBorder="1" applyAlignment="1">
      <alignment horizontal="left" vertical="top" wrapText="1"/>
    </xf>
    <xf numFmtId="167" fontId="153" fillId="0" borderId="150" xfId="3" applyFont="1" applyFill="1" applyBorder="1" applyAlignment="1">
      <alignment horizontal="left" vertical="top" wrapText="1"/>
    </xf>
    <xf numFmtId="167" fontId="153" fillId="0" borderId="157" xfId="3" applyFont="1" applyFill="1" applyBorder="1" applyAlignment="1">
      <alignment horizontal="left" vertical="top" wrapText="1"/>
    </xf>
    <xf numFmtId="167" fontId="136" fillId="29" borderId="156" xfId="3" applyFont="1" applyFill="1" applyBorder="1" applyAlignment="1">
      <alignment horizontal="center" wrapText="1"/>
    </xf>
    <xf numFmtId="167" fontId="136" fillId="0" borderId="157" xfId="3" applyFont="1" applyFill="1" applyBorder="1" applyAlignment="1">
      <alignment horizontal="left" vertical="center" wrapText="1"/>
    </xf>
    <xf numFmtId="167" fontId="134" fillId="29" borderId="148" xfId="3" applyFont="1" applyFill="1" applyBorder="1" applyAlignment="1">
      <alignment horizontal="left"/>
    </xf>
    <xf numFmtId="167" fontId="134" fillId="29" borderId="148" xfId="3" applyFont="1" applyFill="1" applyBorder="1" applyAlignment="1">
      <alignment horizontal="center" wrapText="1"/>
    </xf>
    <xf numFmtId="167" fontId="136" fillId="29" borderId="148" xfId="3" applyFont="1" applyFill="1" applyBorder="1" applyAlignment="1">
      <alignment horizontal="center" wrapText="1"/>
    </xf>
    <xf numFmtId="167" fontId="136" fillId="29" borderId="159" xfId="3" applyFont="1" applyFill="1" applyBorder="1" applyAlignment="1">
      <alignment horizontal="center" wrapText="1"/>
    </xf>
    <xf numFmtId="167" fontId="136" fillId="29" borderId="151" xfId="3" applyFont="1" applyFill="1" applyBorder="1" applyAlignment="1">
      <alignment horizontal="center" wrapText="1"/>
    </xf>
    <xf numFmtId="0" fontId="0" fillId="0" borderId="157" xfId="0" applyFill="1" applyBorder="1"/>
    <xf numFmtId="0" fontId="0" fillId="0" borderId="148" xfId="0" applyFill="1" applyBorder="1"/>
    <xf numFmtId="167" fontId="134" fillId="29" borderId="147" xfId="3" applyFont="1" applyFill="1" applyBorder="1" applyAlignment="1">
      <alignment horizontal="left" wrapText="1"/>
    </xf>
    <xf numFmtId="167" fontId="136" fillId="28" borderId="159" xfId="3" applyFont="1" applyFill="1" applyBorder="1" applyAlignment="1">
      <alignment horizontal="center" wrapText="1"/>
    </xf>
    <xf numFmtId="167" fontId="134" fillId="28" borderId="146" xfId="3" applyFont="1" applyFill="1" applyBorder="1" applyAlignment="1">
      <alignment horizontal="left" wrapText="1"/>
    </xf>
    <xf numFmtId="167" fontId="132" fillId="28" borderId="147" xfId="3" applyFont="1" applyFill="1" applyBorder="1" applyAlignment="1">
      <alignment horizontal="center" wrapText="1"/>
    </xf>
    <xf numFmtId="167" fontId="136" fillId="28" borderId="151" xfId="3" applyFont="1" applyFill="1" applyBorder="1" applyAlignment="1">
      <alignment horizontal="center" wrapText="1"/>
    </xf>
    <xf numFmtId="167" fontId="134" fillId="28" borderId="147" xfId="3" applyFont="1" applyFill="1" applyBorder="1" applyAlignment="1">
      <alignment horizontal="left" wrapText="1"/>
    </xf>
    <xf numFmtId="167" fontId="136" fillId="28" borderId="148" xfId="3" applyFont="1" applyFill="1" applyBorder="1" applyAlignment="1">
      <alignment horizontal="center" wrapText="1"/>
    </xf>
    <xf numFmtId="167" fontId="134" fillId="25" borderId="147" xfId="3" applyFont="1" applyFill="1" applyBorder="1" applyAlignment="1">
      <alignment horizontal="left" wrapText="1"/>
    </xf>
    <xf numFmtId="167" fontId="132" fillId="25" borderId="147" xfId="3" applyFont="1" applyFill="1" applyBorder="1" applyAlignment="1">
      <alignment horizontal="center" wrapText="1"/>
    </xf>
    <xf numFmtId="167" fontId="136" fillId="25" borderId="159" xfId="3" applyFont="1" applyFill="1" applyBorder="1" applyAlignment="1">
      <alignment horizontal="center" wrapText="1"/>
    </xf>
    <xf numFmtId="0" fontId="65" fillId="0" borderId="152" xfId="0" applyFont="1" applyFill="1" applyBorder="1" applyAlignment="1">
      <alignment vertical="center" wrapText="1"/>
    </xf>
    <xf numFmtId="0" fontId="65" fillId="0" borderId="153" xfId="0" applyFont="1" applyFill="1" applyBorder="1" applyAlignment="1">
      <alignment vertical="center" wrapText="1"/>
    </xf>
    <xf numFmtId="0" fontId="65" fillId="0" borderId="154" xfId="0" applyFont="1" applyFill="1" applyBorder="1" applyAlignment="1">
      <alignment vertical="center" wrapText="1"/>
    </xf>
    <xf numFmtId="0" fontId="65" fillId="0" borderId="155" xfId="0" applyFont="1" applyFill="1" applyBorder="1" applyAlignment="1">
      <alignment vertical="center" wrapText="1"/>
    </xf>
    <xf numFmtId="167" fontId="137" fillId="25" borderId="156" xfId="3" applyFont="1" applyFill="1" applyBorder="1" applyAlignment="1">
      <alignment horizontal="center" wrapText="1"/>
    </xf>
    <xf numFmtId="167" fontId="74" fillId="0" borderId="157" xfId="3" applyFont="1" applyFill="1" applyBorder="1" applyAlignment="1">
      <alignment horizontal="left" vertical="center" wrapText="1"/>
    </xf>
    <xf numFmtId="167" fontId="136" fillId="25" borderId="148" xfId="3" applyFont="1" applyFill="1" applyBorder="1" applyAlignment="1">
      <alignment horizontal="center" wrapText="1"/>
    </xf>
    <xf numFmtId="167" fontId="21" fillId="0" borderId="157" xfId="3" applyFont="1" applyFill="1" applyBorder="1" applyAlignment="1">
      <alignment horizontal="left" vertical="center" wrapText="1"/>
    </xf>
    <xf numFmtId="167" fontId="135" fillId="17" borderId="148" xfId="3" applyFont="1" applyFill="1" applyBorder="1" applyAlignment="1">
      <alignment horizontal="center" wrapText="1"/>
    </xf>
    <xf numFmtId="167" fontId="136" fillId="0" borderId="152" xfId="3" applyFont="1" applyFill="1" applyBorder="1" applyAlignment="1">
      <alignment horizontal="left" vertical="top" wrapText="1"/>
    </xf>
    <xf numFmtId="167" fontId="136" fillId="0" borderId="153" xfId="3" applyFont="1" applyFill="1" applyBorder="1" applyAlignment="1">
      <alignment horizontal="left" vertical="top" wrapText="1"/>
    </xf>
    <xf numFmtId="167" fontId="136" fillId="0" borderId="154" xfId="3" applyFont="1" applyFill="1" applyBorder="1" applyAlignment="1">
      <alignment horizontal="left" vertical="top" wrapText="1"/>
    </xf>
    <xf numFmtId="167" fontId="136" fillId="0" borderId="155" xfId="3" applyFont="1" applyFill="1" applyBorder="1" applyAlignment="1">
      <alignment horizontal="left" vertical="top" wrapText="1"/>
    </xf>
    <xf numFmtId="167" fontId="134" fillId="21" borderId="147" xfId="3" applyFont="1" applyFill="1" applyBorder="1" applyAlignment="1">
      <alignment horizontal="left"/>
    </xf>
    <xf numFmtId="167" fontId="136" fillId="21" borderId="148" xfId="3" applyFont="1" applyFill="1" applyBorder="1" applyAlignment="1">
      <alignment horizontal="left" wrapText="1"/>
    </xf>
    <xf numFmtId="167" fontId="137" fillId="21" borderId="159" xfId="3" applyFont="1" applyFill="1" applyBorder="1" applyAlignment="1">
      <alignment horizontal="center" wrapText="1"/>
    </xf>
    <xf numFmtId="167" fontId="137" fillId="21" borderId="156" xfId="3" applyFont="1" applyFill="1" applyBorder="1" applyAlignment="1">
      <alignment horizontal="center" wrapText="1"/>
    </xf>
    <xf numFmtId="167" fontId="21" fillId="0" borderId="152" xfId="3" applyFont="1" applyFill="1" applyBorder="1" applyAlignment="1">
      <alignment horizontal="left" vertical="top" wrapText="1"/>
    </xf>
    <xf numFmtId="167" fontId="126" fillId="0" borderId="0" xfId="3" applyFont="1" applyFill="1" applyBorder="1" applyAlignment="1"/>
    <xf numFmtId="167" fontId="128" fillId="16" borderId="143" xfId="3" applyFont="1" applyFill="1" applyBorder="1" applyAlignment="1">
      <alignment horizontal="center"/>
    </xf>
    <xf numFmtId="0" fontId="0" fillId="16" borderId="144" xfId="0" applyFill="1" applyBorder="1"/>
    <xf numFmtId="167" fontId="129" fillId="16" borderId="145" xfId="3" applyFont="1" applyFill="1" applyBorder="1" applyAlignment="1">
      <alignment horizontal="left" vertical="top" wrapText="1"/>
    </xf>
    <xf numFmtId="167" fontId="135" fillId="17" borderId="149" xfId="3" applyFont="1" applyFill="1" applyBorder="1" applyAlignment="1">
      <alignment horizontal="center" wrapText="1"/>
    </xf>
    <xf numFmtId="0" fontId="15" fillId="0" borderId="215" xfId="0" applyFont="1" applyBorder="1" applyAlignment="1">
      <alignment horizontal="left" vertical="center" wrapText="1"/>
    </xf>
    <xf numFmtId="0" fontId="12" fillId="13" borderId="219" xfId="0" applyFont="1" applyFill="1" applyBorder="1" applyAlignment="1">
      <alignment horizontal="left"/>
    </xf>
    <xf numFmtId="0" fontId="12" fillId="13" borderId="179" xfId="0" applyFont="1" applyFill="1" applyBorder="1" applyAlignment="1">
      <alignment horizontal="center" wrapText="1"/>
    </xf>
    <xf numFmtId="0" fontId="15" fillId="13" borderId="176" xfId="0" applyFont="1" applyFill="1" applyBorder="1" applyAlignment="1">
      <alignment horizontal="center" wrapText="1"/>
    </xf>
    <xf numFmtId="0" fontId="15" fillId="13" borderId="222" xfId="0" applyFont="1" applyFill="1" applyBorder="1" applyAlignment="1">
      <alignment horizontal="center" wrapText="1"/>
    </xf>
    <xf numFmtId="0" fontId="15" fillId="13" borderId="221" xfId="0" applyFont="1" applyFill="1" applyBorder="1" applyAlignment="1">
      <alignment horizontal="center" wrapText="1"/>
    </xf>
    <xf numFmtId="0" fontId="65" fillId="0" borderId="93" xfId="0" applyFont="1" applyBorder="1" applyAlignment="1">
      <alignment vertical="center" wrapText="1"/>
    </xf>
    <xf numFmtId="0" fontId="23" fillId="0" borderId="215" xfId="0" applyFont="1" applyBorder="1" applyAlignment="1">
      <alignment horizontal="left" vertical="center" wrapText="1"/>
    </xf>
    <xf numFmtId="0" fontId="65" fillId="0" borderId="41" xfId="0" applyFont="1" applyBorder="1" applyAlignment="1">
      <alignment vertical="center" wrapText="1"/>
    </xf>
    <xf numFmtId="0" fontId="23" fillId="0" borderId="38" xfId="0" applyFont="1" applyBorder="1" applyAlignment="1">
      <alignment horizontal="left" vertical="center" wrapText="1"/>
    </xf>
    <xf numFmtId="0" fontId="65" fillId="0" borderId="42" xfId="0" applyFont="1" applyBorder="1" applyAlignment="1">
      <alignment vertical="center" wrapText="1"/>
    </xf>
    <xf numFmtId="0" fontId="27" fillId="13" borderId="180" xfId="0" applyFont="1" applyFill="1" applyBorder="1" applyAlignment="1">
      <alignment horizontal="left" wrapText="1"/>
    </xf>
    <xf numFmtId="0" fontId="27" fillId="13" borderId="172" xfId="0" applyFont="1" applyFill="1" applyBorder="1" applyAlignment="1">
      <alignment horizontal="left" wrapText="1"/>
    </xf>
    <xf numFmtId="0" fontId="28" fillId="13" borderId="181" xfId="0" applyFont="1" applyFill="1" applyBorder="1" applyAlignment="1">
      <alignment horizontal="center" wrapText="1"/>
    </xf>
    <xf numFmtId="0" fontId="28" fillId="13" borderId="175" xfId="0" applyFont="1" applyFill="1" applyBorder="1" applyAlignment="1">
      <alignment horizontal="center" wrapText="1"/>
    </xf>
    <xf numFmtId="0" fontId="28" fillId="13" borderId="176" xfId="0" applyFont="1" applyFill="1" applyBorder="1" applyAlignment="1">
      <alignment horizontal="center" wrapText="1"/>
    </xf>
    <xf numFmtId="0" fontId="28" fillId="13" borderId="177" xfId="0" applyFont="1" applyFill="1" applyBorder="1" applyAlignment="1">
      <alignment horizontal="center" wrapText="1"/>
    </xf>
    <xf numFmtId="0" fontId="28" fillId="0" borderId="215" xfId="0" applyFont="1" applyBorder="1" applyAlignment="1">
      <alignment horizontal="left" vertical="center" wrapText="1"/>
    </xf>
    <xf numFmtId="0" fontId="28" fillId="12" borderId="182" xfId="0" applyFont="1" applyFill="1" applyBorder="1" applyAlignment="1">
      <alignment horizontal="center" wrapText="1"/>
    </xf>
    <xf numFmtId="0" fontId="28" fillId="12" borderId="183" xfId="0" applyFont="1" applyFill="1" applyBorder="1" applyAlignment="1">
      <alignment horizontal="center" wrapText="1"/>
    </xf>
    <xf numFmtId="0" fontId="28" fillId="12" borderId="185" xfId="0" applyFont="1" applyFill="1" applyBorder="1" applyAlignment="1">
      <alignment horizontal="center" wrapText="1"/>
    </xf>
    <xf numFmtId="0" fontId="31" fillId="0" borderId="215" xfId="0" applyFont="1" applyBorder="1" applyAlignment="1">
      <alignment horizontal="left" vertical="center" wrapText="1"/>
    </xf>
    <xf numFmtId="0" fontId="27" fillId="12" borderId="178" xfId="0" applyFont="1" applyFill="1" applyBorder="1" applyAlignment="1">
      <alignment horizontal="left" wrapText="1"/>
    </xf>
    <xf numFmtId="0" fontId="27" fillId="12" borderId="215" xfId="0" applyFont="1" applyFill="1" applyBorder="1" applyAlignment="1">
      <alignment horizontal="left" wrapText="1"/>
    </xf>
    <xf numFmtId="0" fontId="36" fillId="12" borderId="179" xfId="0" applyFont="1" applyFill="1" applyBorder="1" applyAlignment="1">
      <alignment horizontal="center" wrapText="1"/>
    </xf>
    <xf numFmtId="0" fontId="28" fillId="12" borderId="186" xfId="0" applyFont="1" applyFill="1" applyBorder="1" applyAlignment="1">
      <alignment horizontal="center" wrapText="1"/>
    </xf>
    <xf numFmtId="0" fontId="28" fillId="12" borderId="181" xfId="0" applyFont="1" applyFill="1" applyBorder="1" applyAlignment="1">
      <alignment horizontal="center" wrapText="1"/>
    </xf>
    <xf numFmtId="0" fontId="27" fillId="11" borderId="180" xfId="0" applyFont="1" applyFill="1" applyBorder="1" applyAlignment="1">
      <alignment horizontal="left" wrapText="1"/>
    </xf>
    <xf numFmtId="0" fontId="27" fillId="11" borderId="172" xfId="0" applyFont="1" applyFill="1" applyBorder="1" applyAlignment="1">
      <alignment horizontal="left" wrapText="1"/>
    </xf>
    <xf numFmtId="0" fontId="36" fillId="11" borderId="179" xfId="0" applyFont="1" applyFill="1" applyBorder="1" applyAlignment="1">
      <alignment horizontal="center" wrapText="1"/>
    </xf>
    <xf numFmtId="0" fontId="18" fillId="0" borderId="215" xfId="0" applyFont="1" applyBorder="1" applyAlignment="1">
      <alignment horizontal="left" vertical="center" wrapText="1"/>
    </xf>
    <xf numFmtId="0" fontId="27" fillId="12" borderId="180" xfId="0" applyFont="1" applyFill="1" applyBorder="1" applyAlignment="1">
      <alignment horizontal="left" wrapText="1"/>
    </xf>
    <xf numFmtId="0" fontId="27" fillId="12" borderId="172" xfId="0" applyFont="1" applyFill="1" applyBorder="1" applyAlignment="1">
      <alignment horizontal="left" wrapText="1"/>
    </xf>
    <xf numFmtId="0" fontId="28" fillId="11" borderId="218" xfId="0" applyFont="1" applyFill="1" applyBorder="1" applyAlignment="1">
      <alignment horizontal="center" wrapText="1"/>
    </xf>
    <xf numFmtId="0" fontId="28" fillId="11" borderId="222" xfId="0" applyFont="1" applyFill="1" applyBorder="1" applyAlignment="1">
      <alignment horizontal="center" wrapText="1"/>
    </xf>
    <xf numFmtId="0" fontId="28" fillId="11" borderId="181" xfId="0" applyFont="1" applyFill="1" applyBorder="1" applyAlignment="1">
      <alignment horizontal="center" wrapText="1"/>
    </xf>
    <xf numFmtId="0" fontId="28" fillId="11" borderId="174" xfId="0" applyFont="1" applyFill="1" applyBorder="1" applyAlignment="1">
      <alignment horizontal="center" wrapText="1"/>
    </xf>
    <xf numFmtId="0" fontId="38" fillId="0" borderId="215" xfId="0" applyFont="1" applyBorder="1" applyAlignment="1">
      <alignment horizontal="left" vertical="center" wrapText="1"/>
    </xf>
    <xf numFmtId="0" fontId="21" fillId="0" borderId="215" xfId="0" applyFont="1" applyBorder="1" applyAlignment="1">
      <alignment horizontal="left" vertical="center" wrapText="1"/>
    </xf>
    <xf numFmtId="0" fontId="29" fillId="6" borderId="174" xfId="0" applyFont="1" applyFill="1" applyBorder="1" applyAlignment="1">
      <alignment horizontal="center" wrapText="1"/>
    </xf>
    <xf numFmtId="0" fontId="0" fillId="2" borderId="193" xfId="0" applyFill="1" applyBorder="1" applyAlignment="1">
      <alignment horizontal="center"/>
    </xf>
    <xf numFmtId="0" fontId="0" fillId="2" borderId="194" xfId="0" applyFill="1" applyBorder="1" applyAlignment="1">
      <alignment horizontal="center"/>
    </xf>
    <xf numFmtId="0" fontId="6" fillId="2" borderId="199" xfId="0" applyFont="1" applyFill="1" applyBorder="1" applyAlignment="1">
      <alignment horizontal="left" vertical="top" wrapText="1"/>
    </xf>
    <xf numFmtId="0" fontId="14" fillId="3" borderId="218" xfId="0" applyFont="1" applyFill="1" applyBorder="1" applyAlignment="1">
      <alignment horizontal="center" wrapText="1"/>
    </xf>
    <xf numFmtId="0" fontId="14" fillId="3" borderId="176" xfId="0" applyFont="1" applyFill="1" applyBorder="1" applyAlignment="1">
      <alignment horizontal="center" wrapText="1"/>
    </xf>
    <xf numFmtId="0" fontId="13" fillId="3" borderId="220" xfId="0" applyFont="1" applyFill="1" applyBorder="1" applyAlignment="1">
      <alignment horizontal="center" wrapText="1"/>
    </xf>
    <xf numFmtId="0" fontId="13" fillId="3" borderId="176" xfId="0" applyFont="1" applyFill="1" applyBorder="1" applyAlignment="1">
      <alignment horizontal="center" wrapText="1"/>
    </xf>
    <xf numFmtId="0" fontId="13" fillId="3" borderId="177" xfId="0" applyFont="1" applyFill="1" applyBorder="1" applyAlignment="1">
      <alignment horizontal="center" wrapText="1"/>
    </xf>
    <xf numFmtId="0" fontId="74" fillId="0" borderId="215" xfId="0" applyFont="1" applyBorder="1" applyAlignment="1">
      <alignment horizontal="left" vertical="center" wrapText="1"/>
    </xf>
    <xf numFmtId="0" fontId="27" fillId="6" borderId="180" xfId="0" applyFont="1" applyFill="1" applyBorder="1" applyAlignment="1">
      <alignment horizontal="left"/>
    </xf>
    <xf numFmtId="0" fontId="27" fillId="6" borderId="172" xfId="0" applyFont="1" applyFill="1" applyBorder="1" applyAlignment="1">
      <alignment horizontal="left"/>
    </xf>
    <xf numFmtId="0" fontId="28" fillId="6" borderId="181" xfId="0" applyFont="1" applyFill="1" applyBorder="1" applyAlignment="1">
      <alignment horizontal="left" wrapText="1"/>
    </xf>
    <xf numFmtId="0" fontId="1" fillId="0" borderId="78" xfId="0" applyFont="1" applyBorder="1" applyAlignment="1">
      <alignment horizontal="center" vertical="center" wrapText="1"/>
    </xf>
    <xf numFmtId="0" fontId="156" fillId="0" borderId="0" xfId="0" applyFont="1" applyAlignment="1">
      <alignment vertical="center" wrapText="1"/>
    </xf>
    <xf numFmtId="0" fontId="0" fillId="0" borderId="0" xfId="0" applyAlignment="1">
      <alignment vertical="center" wrapText="1"/>
    </xf>
    <xf numFmtId="0" fontId="0" fillId="0" borderId="0" xfId="0" applyAlignment="1"/>
    <xf numFmtId="0" fontId="16" fillId="0" borderId="37" xfId="0" applyFont="1" applyBorder="1" applyAlignment="1">
      <alignment horizontal="left" vertical="center" wrapText="1"/>
    </xf>
    <xf numFmtId="0" fontId="15" fillId="0" borderId="37" xfId="0" applyFont="1" applyBorder="1" applyAlignment="1">
      <alignment horizontal="left" vertical="center" wrapText="1"/>
    </xf>
    <xf numFmtId="0" fontId="0" fillId="0" borderId="37" xfId="0" applyBorder="1" applyAlignment="1">
      <alignment horizontal="center" wrapText="1"/>
    </xf>
    <xf numFmtId="0" fontId="0" fillId="0" borderId="0" xfId="0" applyBorder="1" applyAlignment="1">
      <alignment horizontal="center" wrapText="1"/>
    </xf>
    <xf numFmtId="0" fontId="12" fillId="13" borderId="10" xfId="0" applyFont="1" applyFill="1" applyBorder="1" applyAlignment="1">
      <alignment horizontal="left" wrapText="1"/>
    </xf>
    <xf numFmtId="0" fontId="12" fillId="13" borderId="49" xfId="0" applyFont="1" applyFill="1" applyBorder="1" applyAlignment="1">
      <alignment horizontal="left" wrapText="1"/>
    </xf>
    <xf numFmtId="0" fontId="28" fillId="0" borderId="37" xfId="0" applyFont="1" applyBorder="1" applyAlignment="1">
      <alignment horizontal="left" vertical="center" wrapText="1"/>
    </xf>
    <xf numFmtId="0" fontId="28" fillId="0" borderId="77" xfId="0" applyFont="1" applyBorder="1" applyAlignment="1">
      <alignment horizontal="left" wrapText="1"/>
    </xf>
    <xf numFmtId="0" fontId="28" fillId="0" borderId="81" xfId="0" applyFont="1" applyBorder="1" applyAlignment="1">
      <alignment horizontal="left" wrapText="1"/>
    </xf>
    <xf numFmtId="0" fontId="28" fillId="0" borderId="84" xfId="0" applyFont="1" applyBorder="1" applyAlignment="1">
      <alignment horizontal="left" wrapText="1"/>
    </xf>
    <xf numFmtId="0" fontId="36" fillId="12" borderId="10" xfId="0" applyFont="1" applyFill="1" applyBorder="1" applyAlignment="1">
      <alignment horizontal="left" wrapText="1"/>
    </xf>
    <xf numFmtId="0" fontId="36" fillId="12" borderId="18" xfId="0" applyFont="1" applyFill="1" applyBorder="1" applyAlignment="1">
      <alignment horizontal="left" wrapText="1"/>
    </xf>
    <xf numFmtId="0" fontId="27" fillId="12" borderId="37" xfId="0" applyFont="1" applyFill="1" applyBorder="1" applyAlignment="1">
      <alignment horizontal="left" wrapText="1"/>
    </xf>
    <xf numFmtId="0" fontId="31" fillId="0" borderId="37" xfId="0" applyFont="1" applyBorder="1" applyAlignment="1">
      <alignment horizontal="left" vertical="center" wrapText="1"/>
    </xf>
    <xf numFmtId="0" fontId="28" fillId="0" borderId="18" xfId="0" applyFont="1" applyBorder="1" applyAlignment="1">
      <alignment horizontal="left" vertical="center" wrapText="1"/>
    </xf>
    <xf numFmtId="0" fontId="28" fillId="0" borderId="18" xfId="0" applyFont="1" applyBorder="1" applyAlignment="1"/>
    <xf numFmtId="0" fontId="28" fillId="0" borderId="26" xfId="0" applyFont="1" applyBorder="1" applyAlignment="1"/>
    <xf numFmtId="0" fontId="36" fillId="11" borderId="10" xfId="0" applyFont="1" applyFill="1" applyBorder="1" applyAlignment="1">
      <alignment horizontal="left" wrapText="1"/>
    </xf>
    <xf numFmtId="0" fontId="12" fillId="11" borderId="18" xfId="0" applyFont="1" applyFill="1" applyBorder="1" applyAlignment="1">
      <alignment horizontal="left" wrapText="1"/>
    </xf>
    <xf numFmtId="0" fontId="18" fillId="0" borderId="17" xfId="0" applyFont="1" applyBorder="1" applyAlignment="1">
      <alignment horizontal="left" vertical="center" wrapText="1"/>
    </xf>
    <xf numFmtId="0" fontId="15" fillId="0" borderId="17" xfId="0" applyFont="1" applyBorder="1" applyAlignment="1">
      <alignment horizontal="left" vertical="center" wrapText="1"/>
    </xf>
    <xf numFmtId="0" fontId="15" fillId="0" borderId="25" xfId="0" applyFont="1" applyBorder="1" applyAlignment="1">
      <alignment horizontal="left" vertical="center" wrapText="1"/>
    </xf>
    <xf numFmtId="0" fontId="18" fillId="0" borderId="37" xfId="0" applyFont="1" applyBorder="1" applyAlignment="1">
      <alignment horizontal="left" vertical="center" wrapText="1"/>
    </xf>
    <xf numFmtId="0" fontId="38" fillId="0" borderId="37" xfId="0" applyFont="1" applyBorder="1" applyAlignment="1">
      <alignment horizontal="left" vertical="center" wrapText="1"/>
    </xf>
    <xf numFmtId="0" fontId="21" fillId="0" borderId="37" xfId="0" applyFont="1" applyBorder="1" applyAlignment="1">
      <alignment horizontal="left" vertical="center" wrapText="1"/>
    </xf>
    <xf numFmtId="0" fontId="18" fillId="0" borderId="40" xfId="0" applyFont="1" applyBorder="1" applyAlignment="1">
      <alignment horizontal="left" vertical="center" wrapText="1"/>
    </xf>
    <xf numFmtId="0" fontId="18" fillId="0" borderId="23" xfId="0" applyFont="1" applyBorder="1" applyAlignment="1">
      <alignment horizontal="left" vertical="center" wrapText="1"/>
    </xf>
    <xf numFmtId="0" fontId="18" fillId="0" borderId="31" xfId="0" applyFont="1" applyBorder="1" applyAlignment="1">
      <alignment horizontal="left" vertical="center" wrapText="1"/>
    </xf>
    <xf numFmtId="0" fontId="12" fillId="2" borderId="21" xfId="0" applyFont="1" applyFill="1" applyBorder="1" applyAlignment="1">
      <alignment wrapText="1"/>
    </xf>
    <xf numFmtId="0" fontId="12" fillId="2" borderId="29" xfId="0" applyFont="1" applyFill="1" applyBorder="1" applyAlignment="1">
      <alignment wrapText="1"/>
    </xf>
    <xf numFmtId="0" fontId="28" fillId="13" borderId="237" xfId="0" applyFont="1" applyFill="1" applyBorder="1" applyAlignment="1">
      <alignment horizontal="center" wrapText="1"/>
    </xf>
    <xf numFmtId="0" fontId="28" fillId="13" borderId="238" xfId="0" applyFont="1" applyFill="1" applyBorder="1" applyAlignment="1">
      <alignment horizontal="center" wrapText="1"/>
    </xf>
    <xf numFmtId="0" fontId="12" fillId="13" borderId="236" xfId="0" applyFont="1" applyFill="1" applyBorder="1" applyAlignment="1">
      <alignment horizontal="center" wrapText="1"/>
    </xf>
    <xf numFmtId="0" fontId="15" fillId="13" borderId="237" xfId="0" applyFont="1" applyFill="1" applyBorder="1" applyAlignment="1">
      <alignment horizontal="center" wrapText="1"/>
    </xf>
    <xf numFmtId="0" fontId="27" fillId="13" borderId="240" xfId="0" applyFont="1" applyFill="1" applyBorder="1" applyAlignment="1">
      <alignment horizontal="left" wrapText="1"/>
    </xf>
    <xf numFmtId="0" fontId="27" fillId="13" borderId="203" xfId="0" applyFont="1" applyFill="1" applyBorder="1" applyAlignment="1">
      <alignment horizontal="left" wrapText="1"/>
    </xf>
    <xf numFmtId="0" fontId="28" fillId="13" borderId="241" xfId="0" applyFont="1" applyFill="1" applyBorder="1" applyAlignment="1">
      <alignment horizontal="center" wrapText="1"/>
    </xf>
    <xf numFmtId="0" fontId="0" fillId="0" borderId="132" xfId="0" applyBorder="1" applyAlignment="1">
      <alignment horizontal="center" vertical="center" wrapText="1"/>
    </xf>
    <xf numFmtId="0" fontId="0" fillId="0" borderId="134" xfId="0" applyBorder="1" applyAlignment="1">
      <alignment horizontal="center" vertical="center" wrapText="1"/>
    </xf>
    <xf numFmtId="0" fontId="0" fillId="0" borderId="142" xfId="0" applyBorder="1" applyAlignment="1">
      <alignment horizontal="center" vertical="center" wrapText="1"/>
    </xf>
    <xf numFmtId="0" fontId="27" fillId="11" borderId="240" xfId="0" applyFont="1" applyFill="1" applyBorder="1" applyAlignment="1">
      <alignment horizontal="left" wrapText="1"/>
    </xf>
    <xf numFmtId="0" fontId="28" fillId="12" borderId="242" xfId="0" applyFont="1" applyFill="1" applyBorder="1" applyAlignment="1">
      <alignment horizontal="center" wrapText="1"/>
    </xf>
    <xf numFmtId="0" fontId="28" fillId="12" borderId="243" xfId="0" applyFont="1" applyFill="1" applyBorder="1" applyAlignment="1">
      <alignment horizontal="center" wrapText="1"/>
    </xf>
    <xf numFmtId="0" fontId="28" fillId="12" borderId="245" xfId="0" applyFont="1" applyFill="1" applyBorder="1" applyAlignment="1">
      <alignment horizontal="center" wrapText="1"/>
    </xf>
    <xf numFmtId="0" fontId="27" fillId="12" borderId="231" xfId="0" applyFont="1" applyFill="1" applyBorder="1" applyAlignment="1">
      <alignment horizontal="left" wrapText="1"/>
    </xf>
    <xf numFmtId="0" fontId="36" fillId="12" borderId="236" xfId="0" applyFont="1" applyFill="1" applyBorder="1" applyAlignment="1">
      <alignment horizontal="center" wrapText="1"/>
    </xf>
    <xf numFmtId="0" fontId="28" fillId="12" borderId="246" xfId="0" applyFont="1" applyFill="1" applyBorder="1" applyAlignment="1">
      <alignment horizontal="center" wrapText="1"/>
    </xf>
    <xf numFmtId="0" fontId="36" fillId="11" borderId="236" xfId="0" applyFont="1" applyFill="1" applyBorder="1" applyAlignment="1">
      <alignment horizontal="center" wrapText="1"/>
    </xf>
    <xf numFmtId="0" fontId="28" fillId="11" borderId="241" xfId="0" applyFont="1" applyFill="1" applyBorder="1" applyAlignment="1">
      <alignment horizontal="center" wrapText="1"/>
    </xf>
    <xf numFmtId="0" fontId="27" fillId="12" borderId="240" xfId="0" applyFont="1" applyFill="1" applyBorder="1" applyAlignment="1">
      <alignment horizontal="left" wrapText="1"/>
    </xf>
    <xf numFmtId="0" fontId="28" fillId="12" borderId="241" xfId="0" applyFont="1" applyFill="1" applyBorder="1" applyAlignment="1">
      <alignment horizontal="center" wrapText="1"/>
    </xf>
    <xf numFmtId="0" fontId="27" fillId="6" borderId="240" xfId="0" applyFont="1" applyFill="1" applyBorder="1" applyAlignment="1">
      <alignment horizontal="left"/>
    </xf>
    <xf numFmtId="0" fontId="28" fillId="6" borderId="241" xfId="0" applyFont="1" applyFill="1" applyBorder="1" applyAlignment="1">
      <alignment horizontal="left" wrapText="1"/>
    </xf>
    <xf numFmtId="0" fontId="0" fillId="2" borderId="233" xfId="0" applyFill="1" applyBorder="1" applyAlignment="1">
      <alignment horizontal="center"/>
    </xf>
    <xf numFmtId="0" fontId="0" fillId="2" borderId="234" xfId="0" applyFill="1" applyBorder="1" applyAlignment="1">
      <alignment horizontal="center"/>
    </xf>
    <xf numFmtId="0" fontId="14" fillId="3" borderId="237" xfId="0" applyFont="1" applyFill="1" applyBorder="1" applyAlignment="1">
      <alignment horizontal="center" wrapText="1"/>
    </xf>
    <xf numFmtId="0" fontId="13" fillId="3" borderId="237" xfId="0" applyFont="1" applyFill="1" applyBorder="1" applyAlignment="1">
      <alignment horizontal="center" wrapText="1"/>
    </xf>
    <xf numFmtId="0" fontId="13" fillId="3" borderId="238" xfId="0" applyFont="1" applyFill="1" applyBorder="1" applyAlignment="1">
      <alignment horizontal="center" wrapText="1"/>
    </xf>
    <xf numFmtId="0" fontId="0" fillId="2" borderId="249" xfId="0" applyFill="1" applyBorder="1" applyAlignment="1">
      <alignment horizontal="center"/>
    </xf>
    <xf numFmtId="0" fontId="0" fillId="2" borderId="250" xfId="0" applyFill="1" applyBorder="1" applyAlignment="1">
      <alignment horizontal="center"/>
    </xf>
    <xf numFmtId="0" fontId="27" fillId="6" borderId="206" xfId="0" applyFont="1" applyFill="1" applyBorder="1" applyAlignment="1">
      <alignment horizontal="left"/>
    </xf>
    <xf numFmtId="0" fontId="15" fillId="0" borderId="41" xfId="0" applyFont="1" applyFill="1" applyBorder="1" applyAlignment="1">
      <alignment horizontal="center" vertical="center" wrapText="1"/>
    </xf>
    <xf numFmtId="0" fontId="15" fillId="0" borderId="42" xfId="0" applyFont="1" applyFill="1" applyBorder="1" applyAlignment="1">
      <alignment horizontal="center" vertical="center" wrapText="1"/>
    </xf>
    <xf numFmtId="0" fontId="27" fillId="11" borderId="206" xfId="0" applyFont="1" applyFill="1" applyBorder="1" applyAlignment="1">
      <alignment horizontal="left" wrapText="1"/>
    </xf>
    <xf numFmtId="0" fontId="84" fillId="0" borderId="215" xfId="0" applyFont="1" applyBorder="1" applyAlignment="1">
      <alignment horizontal="left" vertical="center" wrapText="1"/>
    </xf>
    <xf numFmtId="0" fontId="84" fillId="0" borderId="38" xfId="0" applyFont="1" applyBorder="1" applyAlignment="1"/>
    <xf numFmtId="0" fontId="27" fillId="12" borderId="206" xfId="0" applyFont="1" applyFill="1" applyBorder="1" applyAlignment="1">
      <alignment horizontal="left" wrapText="1"/>
    </xf>
    <xf numFmtId="0" fontId="27" fillId="12" borderId="251" xfId="0" applyFont="1" applyFill="1" applyBorder="1" applyAlignment="1">
      <alignment horizontal="left" wrapText="1"/>
    </xf>
    <xf numFmtId="0" fontId="16" fillId="0" borderId="215" xfId="0" applyFont="1" applyBorder="1" applyAlignment="1">
      <alignment horizontal="left" vertical="center" wrapText="1"/>
    </xf>
    <xf numFmtId="0" fontId="27" fillId="13" borderId="206" xfId="0" applyFont="1" applyFill="1" applyBorder="1" applyAlignment="1">
      <alignment horizontal="left" wrapText="1"/>
    </xf>
    <xf numFmtId="0" fontId="16" fillId="0" borderId="173" xfId="0" applyFont="1" applyBorder="1" applyAlignment="1">
      <alignment horizontal="left" vertical="center" wrapText="1"/>
    </xf>
    <xf numFmtId="0" fontId="15" fillId="0" borderId="173" xfId="0" applyFont="1" applyBorder="1" applyAlignment="1">
      <alignment horizontal="left" vertical="center" wrapText="1"/>
    </xf>
    <xf numFmtId="0" fontId="0" fillId="0" borderId="0" xfId="0" applyAlignment="1">
      <alignment horizontal="center" wrapText="1"/>
    </xf>
    <xf numFmtId="0" fontId="3" fillId="0" borderId="0" xfId="0" applyFont="1" applyAlignment="1">
      <alignment horizontal="center" wrapText="1"/>
    </xf>
    <xf numFmtId="0" fontId="0" fillId="0" borderId="0" xfId="0" applyAlignment="1">
      <alignment horizontal="center"/>
    </xf>
    <xf numFmtId="0" fontId="28" fillId="0" borderId="173" xfId="0" applyFont="1" applyBorder="1" applyAlignment="1">
      <alignment horizontal="left" vertical="center" wrapText="1"/>
    </xf>
    <xf numFmtId="0" fontId="28" fillId="0" borderId="103" xfId="0" applyFont="1" applyBorder="1" applyAlignment="1">
      <alignment horizontal="left" vertical="top" wrapText="1"/>
    </xf>
    <xf numFmtId="0" fontId="0" fillId="0" borderId="93" xfId="0" applyBorder="1" applyAlignment="1">
      <alignment vertical="top" wrapText="1"/>
    </xf>
    <xf numFmtId="0" fontId="28" fillId="0" borderId="101" xfId="0" applyFont="1" applyBorder="1" applyAlignment="1">
      <alignment horizontal="left" vertical="top" wrapText="1"/>
    </xf>
    <xf numFmtId="0" fontId="0" fillId="0" borderId="41" xfId="0" applyBorder="1" applyAlignment="1">
      <alignment vertical="top" wrapText="1"/>
    </xf>
    <xf numFmtId="0" fontId="28" fillId="0" borderId="104" xfId="0" applyFont="1" applyBorder="1" applyAlignment="1">
      <alignment horizontal="left" vertical="top" wrapText="1"/>
    </xf>
    <xf numFmtId="0" fontId="0" fillId="0" borderId="42" xfId="0" applyBorder="1" applyAlignment="1">
      <alignment vertical="top" wrapText="1"/>
    </xf>
    <xf numFmtId="0" fontId="31" fillId="0" borderId="173" xfId="0" applyFont="1" applyBorder="1" applyAlignment="1">
      <alignment horizontal="left" vertical="center" wrapText="1"/>
    </xf>
    <xf numFmtId="0" fontId="27" fillId="12" borderId="173" xfId="0" applyFont="1" applyFill="1" applyBorder="1" applyAlignment="1">
      <alignment horizontal="left" wrapText="1"/>
    </xf>
    <xf numFmtId="0" fontId="18" fillId="0" borderId="173" xfId="0" applyFont="1" applyBorder="1" applyAlignment="1">
      <alignment horizontal="left" vertical="center" wrapText="1"/>
    </xf>
    <xf numFmtId="0" fontId="38" fillId="0" borderId="173" xfId="0" applyFont="1" applyBorder="1" applyAlignment="1">
      <alignment horizontal="left" vertical="center" wrapText="1"/>
    </xf>
    <xf numFmtId="0" fontId="21" fillId="0" borderId="173" xfId="0" applyFont="1" applyBorder="1" applyAlignment="1">
      <alignment horizontal="left" vertical="center" wrapText="1"/>
    </xf>
    <xf numFmtId="0" fontId="0" fillId="2" borderId="170" xfId="0" applyFill="1" applyBorder="1" applyAlignment="1">
      <alignment horizontal="center"/>
    </xf>
    <xf numFmtId="0" fontId="0" fillId="2" borderId="171" xfId="0" applyFill="1" applyBorder="1" applyAlignment="1">
      <alignment horizontal="center"/>
    </xf>
    <xf numFmtId="0" fontId="18" fillId="7" borderId="173" xfId="0" applyFont="1" applyFill="1" applyBorder="1" applyAlignment="1">
      <alignment horizontal="left" vertical="center" wrapText="1"/>
    </xf>
    <xf numFmtId="0" fontId="15" fillId="7" borderId="173" xfId="0" applyFont="1" applyFill="1" applyBorder="1" applyAlignment="1">
      <alignment horizontal="left" vertical="center" wrapText="1"/>
    </xf>
    <xf numFmtId="0" fontId="15" fillId="7" borderId="38" xfId="0" applyFont="1" applyFill="1" applyBorder="1" applyAlignment="1">
      <alignment horizontal="left" vertical="center" wrapText="1"/>
    </xf>
    <xf numFmtId="0" fontId="0" fillId="7" borderId="93" xfId="0" applyFill="1" applyBorder="1" applyAlignment="1">
      <alignment wrapText="1"/>
    </xf>
    <xf numFmtId="0" fontId="0" fillId="7" borderId="41" xfId="0" applyFill="1" applyBorder="1" applyAlignment="1">
      <alignment wrapText="1"/>
    </xf>
    <xf numFmtId="0" fontId="18" fillId="7" borderId="38" xfId="0" applyFont="1" applyFill="1" applyBorder="1" applyAlignment="1">
      <alignment horizontal="left" vertical="center" wrapText="1"/>
    </xf>
    <xf numFmtId="0" fontId="0" fillId="7" borderId="42" xfId="0" applyFill="1" applyBorder="1" applyAlignment="1">
      <alignment wrapText="1"/>
    </xf>
    <xf numFmtId="0" fontId="15" fillId="0" borderId="40"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5"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5" xfId="0" applyFont="1" applyBorder="1" applyAlignment="1">
      <alignment horizontal="center" vertical="center" wrapText="1"/>
    </xf>
    <xf numFmtId="0" fontId="31" fillId="0" borderId="78" xfId="0" applyFont="1" applyBorder="1" applyAlignment="1">
      <alignment horizontal="left" vertical="top" wrapText="1"/>
    </xf>
    <xf numFmtId="0" fontId="28" fillId="0" borderId="40"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96" xfId="0" applyFont="1" applyBorder="1" applyAlignment="1">
      <alignment horizontal="center" wrapText="1"/>
    </xf>
    <xf numFmtId="0" fontId="28" fillId="0" borderId="195" xfId="0" applyFont="1" applyBorder="1" applyAlignment="1">
      <alignment horizontal="center" wrapText="1"/>
    </xf>
    <xf numFmtId="0" fontId="28" fillId="0" borderId="198" xfId="0" applyFont="1" applyBorder="1" applyAlignment="1">
      <alignment horizontal="center" wrapText="1"/>
    </xf>
    <xf numFmtId="0" fontId="0" fillId="0" borderId="78" xfId="0" applyBorder="1" applyAlignment="1">
      <alignment horizontal="center" wrapText="1"/>
    </xf>
    <xf numFmtId="0" fontId="0" fillId="0" borderId="18" xfId="0" applyBorder="1" applyAlignment="1">
      <alignment horizontal="center" wrapText="1"/>
    </xf>
    <xf numFmtId="0" fontId="0" fillId="0" borderId="26" xfId="0" applyBorder="1" applyAlignment="1">
      <alignment horizontal="center" wrapText="1"/>
    </xf>
    <xf numFmtId="0" fontId="31" fillId="0" borderId="4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25" xfId="0" applyFont="1" applyBorder="1" applyAlignment="1">
      <alignment horizontal="center" vertical="center" wrapText="1"/>
    </xf>
    <xf numFmtId="0" fontId="0" fillId="0" borderId="78" xfId="0" applyBorder="1" applyAlignment="1">
      <alignment horizontal="center"/>
    </xf>
    <xf numFmtId="0" fontId="0" fillId="0" borderId="18" xfId="0" applyBorder="1" applyAlignment="1">
      <alignment horizontal="center"/>
    </xf>
    <xf numFmtId="0" fontId="0" fillId="0" borderId="26" xfId="0" applyBorder="1" applyAlignment="1">
      <alignment horizontal="center"/>
    </xf>
    <xf numFmtId="0" fontId="18" fillId="0" borderId="40"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5" xfId="0" applyFont="1" applyBorder="1" applyAlignment="1">
      <alignment horizontal="center" vertical="center" wrapText="1"/>
    </xf>
    <xf numFmtId="0" fontId="0" fillId="0" borderId="18" xfId="0" applyBorder="1" applyAlignment="1">
      <alignment horizontal="left" vertical="top" wrapText="1"/>
    </xf>
    <xf numFmtId="0" fontId="0" fillId="0" borderId="26" xfId="0" applyBorder="1" applyAlignment="1">
      <alignment horizontal="left" vertical="top" wrapText="1"/>
    </xf>
    <xf numFmtId="0" fontId="38" fillId="0" borderId="40"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25" xfId="0" applyFont="1" applyBorder="1" applyAlignment="1">
      <alignment horizontal="center" vertical="center" wrapText="1"/>
    </xf>
    <xf numFmtId="0" fontId="12" fillId="6" borderId="179" xfId="0" applyFont="1" applyFill="1" applyBorder="1" applyAlignment="1">
      <alignment horizontal="center" wrapText="1"/>
    </xf>
    <xf numFmtId="0" fontId="12" fillId="6" borderId="18" xfId="0" applyFont="1" applyFill="1" applyBorder="1" applyAlignment="1">
      <alignment horizontal="center" wrapText="1"/>
    </xf>
    <xf numFmtId="0" fontId="31" fillId="0" borderId="96" xfId="0" applyFont="1" applyBorder="1" applyAlignment="1">
      <alignment horizontal="left" vertical="top" wrapText="1"/>
    </xf>
    <xf numFmtId="0" fontId="31" fillId="0" borderId="195" xfId="0" applyFont="1" applyBorder="1" applyAlignment="1">
      <alignment horizontal="left" vertical="top" wrapText="1"/>
    </xf>
    <xf numFmtId="0" fontId="31" fillId="0" borderId="18" xfId="0" applyFont="1" applyBorder="1" applyAlignment="1">
      <alignment horizontal="left" vertical="top" wrapText="1"/>
    </xf>
    <xf numFmtId="0" fontId="18" fillId="0" borderId="78" xfId="0" applyFont="1" applyBorder="1" applyAlignment="1">
      <alignment horizontal="left" vertical="top" wrapText="1"/>
    </xf>
    <xf numFmtId="0" fontId="18" fillId="0" borderId="18" xfId="0" applyFont="1" applyBorder="1" applyAlignment="1">
      <alignment horizontal="left" vertical="top" wrapText="1"/>
    </xf>
    <xf numFmtId="0" fontId="18" fillId="0" borderId="26" xfId="0" applyFont="1" applyBorder="1" applyAlignment="1">
      <alignment horizontal="left" vertical="top"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39" fillId="0" borderId="0" xfId="0" applyFont="1" applyBorder="1" applyAlignment="1">
      <alignment horizontal="left" vertical="center" wrapText="1"/>
    </xf>
    <xf numFmtId="0" fontId="39" fillId="0" borderId="41" xfId="0" applyFont="1" applyBorder="1" applyAlignment="1">
      <alignment horizontal="left" vertical="center" wrapText="1"/>
    </xf>
    <xf numFmtId="0" fontId="28" fillId="0" borderId="38" xfId="0" applyFont="1" applyBorder="1" applyAlignment="1">
      <alignment horizontal="center" vertical="center" wrapText="1"/>
    </xf>
    <xf numFmtId="0" fontId="0" fillId="0" borderId="93" xfId="0" applyBorder="1" applyAlignment="1">
      <alignment horizontal="center" wrapText="1"/>
    </xf>
    <xf numFmtId="0" fontId="0" fillId="0" borderId="41" xfId="0" applyBorder="1" applyAlignment="1">
      <alignment horizontal="center" wrapText="1"/>
    </xf>
    <xf numFmtId="0" fontId="0" fillId="0" borderId="42" xfId="0" applyBorder="1" applyAlignment="1">
      <alignment horizontal="center" wrapText="1"/>
    </xf>
    <xf numFmtId="0" fontId="120" fillId="0" borderId="100" xfId="0" applyFont="1" applyBorder="1" applyAlignment="1">
      <alignment horizontal="left" vertical="center" wrapText="1"/>
    </xf>
    <xf numFmtId="0" fontId="120" fillId="0" borderId="138" xfId="0" applyFont="1" applyBorder="1" applyAlignment="1">
      <alignment horizontal="left" vertical="center" wrapText="1"/>
    </xf>
    <xf numFmtId="0" fontId="39" fillId="0" borderId="100" xfId="0" applyFont="1" applyBorder="1" applyAlignment="1">
      <alignment horizontal="center" vertical="center" wrapText="1"/>
    </xf>
    <xf numFmtId="0" fontId="39" fillId="0" borderId="38" xfId="0" applyFont="1" applyBorder="1" applyAlignment="1">
      <alignment horizontal="center" vertical="center" wrapText="1"/>
    </xf>
    <xf numFmtId="0" fontId="39" fillId="0" borderId="41" xfId="0" applyFont="1" applyBorder="1" applyAlignment="1">
      <alignment horizontal="center" vertical="center" wrapText="1"/>
    </xf>
    <xf numFmtId="0" fontId="39" fillId="0" borderId="42" xfId="0" applyFont="1" applyBorder="1" applyAlignment="1">
      <alignment horizontal="center" vertical="center" wrapText="1"/>
    </xf>
    <xf numFmtId="0" fontId="39" fillId="0" borderId="100" xfId="0" applyFont="1" applyBorder="1" applyAlignment="1">
      <alignment horizontal="left" vertical="center" wrapText="1"/>
    </xf>
    <xf numFmtId="0" fontId="39" fillId="0" borderId="38" xfId="0" applyFont="1" applyBorder="1" applyAlignment="1">
      <alignment horizontal="left" vertical="center" wrapText="1"/>
    </xf>
    <xf numFmtId="0" fontId="39" fillId="0" borderId="42" xfId="0" applyFont="1" applyBorder="1" applyAlignment="1">
      <alignment horizontal="left" vertical="center" wrapText="1"/>
    </xf>
    <xf numFmtId="0" fontId="12" fillId="13" borderId="201" xfId="0" applyFont="1" applyFill="1" applyBorder="1" applyAlignment="1">
      <alignment horizontal="center" wrapText="1"/>
    </xf>
    <xf numFmtId="0" fontId="15" fillId="13" borderId="202" xfId="0" applyFont="1" applyFill="1" applyBorder="1" applyAlignment="1">
      <alignment horizontal="center" wrapText="1"/>
    </xf>
    <xf numFmtId="0" fontId="18" fillId="0" borderId="102" xfId="0" applyFont="1" applyBorder="1" applyAlignment="1">
      <alignment horizontal="left" vertical="top" wrapText="1"/>
    </xf>
    <xf numFmtId="0" fontId="18" fillId="0" borderId="100" xfId="0" applyFont="1" applyBorder="1" applyAlignment="1">
      <alignment horizontal="left" vertical="top" wrapText="1"/>
    </xf>
    <xf numFmtId="0" fontId="18" fillId="0" borderId="38" xfId="0" applyFont="1" applyBorder="1" applyAlignment="1">
      <alignment horizontal="left" vertical="top" wrapText="1"/>
    </xf>
    <xf numFmtId="0" fontId="28" fillId="13" borderId="207" xfId="0" applyFont="1" applyFill="1" applyBorder="1" applyAlignment="1">
      <alignment horizontal="center" wrapText="1"/>
    </xf>
    <xf numFmtId="0" fontId="28" fillId="13" borderId="202" xfId="0" applyFont="1" applyFill="1" applyBorder="1" applyAlignment="1">
      <alignment horizontal="center" wrapText="1"/>
    </xf>
    <xf numFmtId="0" fontId="28" fillId="13" borderId="204" xfId="0" applyFont="1" applyFill="1" applyBorder="1" applyAlignment="1">
      <alignment horizontal="center" wrapText="1"/>
    </xf>
    <xf numFmtId="0" fontId="28" fillId="0" borderId="100" xfId="0" applyFont="1" applyBorder="1" applyAlignment="1">
      <alignment horizontal="left" vertical="top" wrapText="1"/>
    </xf>
    <xf numFmtId="0" fontId="0" fillId="0" borderId="41" xfId="0" applyBorder="1" applyAlignment="1">
      <alignment vertical="top"/>
    </xf>
    <xf numFmtId="0" fontId="28" fillId="0" borderId="38" xfId="0" applyFont="1" applyBorder="1" applyAlignment="1">
      <alignment horizontal="left" vertical="top"/>
    </xf>
    <xf numFmtId="0" fontId="0" fillId="0" borderId="42" xfId="0" applyBorder="1" applyAlignment="1">
      <alignment vertical="top"/>
    </xf>
    <xf numFmtId="0" fontId="28" fillId="12" borderId="208" xfId="0" applyFont="1" applyFill="1" applyBorder="1" applyAlignment="1">
      <alignment horizontal="center" wrapText="1"/>
    </xf>
    <xf numFmtId="0" fontId="28" fillId="12" borderId="209" xfId="0" applyFont="1" applyFill="1" applyBorder="1" applyAlignment="1">
      <alignment horizontal="center" wrapText="1"/>
    </xf>
    <xf numFmtId="0" fontId="28" fillId="12" borderId="211" xfId="0" applyFont="1" applyFill="1" applyBorder="1" applyAlignment="1">
      <alignment horizontal="center" wrapText="1"/>
    </xf>
    <xf numFmtId="0" fontId="27" fillId="12" borderId="200" xfId="0" applyFont="1" applyFill="1" applyBorder="1" applyAlignment="1">
      <alignment horizontal="left" wrapText="1"/>
    </xf>
    <xf numFmtId="0" fontId="36" fillId="12" borderId="201" xfId="0" applyFont="1" applyFill="1" applyBorder="1" applyAlignment="1">
      <alignment horizontal="center" wrapText="1"/>
    </xf>
    <xf numFmtId="0" fontId="28" fillId="12" borderId="212" xfId="0" applyFont="1" applyFill="1" applyBorder="1" applyAlignment="1">
      <alignment horizontal="center" wrapText="1"/>
    </xf>
    <xf numFmtId="0" fontId="28" fillId="12" borderId="207" xfId="0" applyFont="1" applyFill="1" applyBorder="1" applyAlignment="1">
      <alignment horizontal="center" wrapText="1"/>
    </xf>
    <xf numFmtId="0" fontId="27" fillId="11" borderId="203" xfId="0" applyFont="1" applyFill="1" applyBorder="1" applyAlignment="1">
      <alignment horizontal="left" wrapText="1"/>
    </xf>
    <xf numFmtId="0" fontId="36" fillId="11" borderId="201" xfId="0" applyFont="1" applyFill="1" applyBorder="1" applyAlignment="1">
      <alignment horizontal="center" wrapText="1"/>
    </xf>
    <xf numFmtId="0" fontId="27" fillId="12" borderId="203" xfId="0" applyFont="1" applyFill="1" applyBorder="1" applyAlignment="1">
      <alignment horizontal="left" wrapText="1"/>
    </xf>
    <xf numFmtId="0" fontId="28" fillId="11" borderId="207" xfId="0" applyFont="1" applyFill="1" applyBorder="1" applyAlignment="1">
      <alignment horizontal="center" wrapText="1"/>
    </xf>
    <xf numFmtId="0" fontId="31" fillId="0" borderId="100" xfId="0" applyFont="1" applyBorder="1" applyAlignment="1">
      <alignment horizontal="left" vertical="top" wrapText="1"/>
    </xf>
    <xf numFmtId="0" fontId="0" fillId="0" borderId="38" xfId="0" applyBorder="1" applyAlignment="1">
      <alignment vertical="top"/>
    </xf>
    <xf numFmtId="0" fontId="15" fillId="0" borderId="100" xfId="0" applyFont="1" applyBorder="1" applyAlignment="1">
      <alignment horizontal="left" vertical="top" wrapText="1"/>
    </xf>
    <xf numFmtId="0" fontId="14" fillId="3" borderId="202" xfId="0" applyFont="1" applyFill="1" applyBorder="1" applyAlignment="1">
      <alignment horizontal="center" wrapText="1"/>
    </xf>
    <xf numFmtId="0" fontId="15" fillId="0" borderId="38" xfId="0" applyFont="1" applyBorder="1" applyAlignment="1">
      <alignment horizontal="left" vertical="top" wrapText="1"/>
    </xf>
    <xf numFmtId="0" fontId="13" fillId="3" borderId="202" xfId="0" applyFont="1" applyFill="1" applyBorder="1" applyAlignment="1">
      <alignment horizontal="center" wrapText="1"/>
    </xf>
    <xf numFmtId="0" fontId="13" fillId="3" borderId="204" xfId="0" applyFont="1" applyFill="1" applyBorder="1" applyAlignment="1">
      <alignment horizontal="center" wrapText="1"/>
    </xf>
    <xf numFmtId="0" fontId="0" fillId="0" borderId="153" xfId="0" applyBorder="1" applyAlignment="1">
      <alignment vertical="top" wrapText="1"/>
    </xf>
    <xf numFmtId="0" fontId="27" fillId="6" borderId="203" xfId="0" applyFont="1" applyFill="1" applyBorder="1" applyAlignment="1">
      <alignment horizontal="left"/>
    </xf>
    <xf numFmtId="0" fontId="28" fillId="6" borderId="207" xfId="0" applyFont="1" applyFill="1" applyBorder="1" applyAlignment="1">
      <alignment horizontal="left" wrapText="1"/>
    </xf>
    <xf numFmtId="0" fontId="16" fillId="0" borderId="102" xfId="0" applyFont="1" applyBorder="1" applyAlignment="1">
      <alignment horizontal="center" vertical="center" wrapText="1"/>
    </xf>
    <xf numFmtId="0" fontId="16" fillId="0" borderId="100" xfId="0" applyFont="1" applyBorder="1" applyAlignment="1">
      <alignment horizontal="center" vertical="center" wrapText="1"/>
    </xf>
    <xf numFmtId="0" fontId="16" fillId="0" borderId="38" xfId="0" applyFont="1" applyBorder="1" applyAlignment="1">
      <alignment horizontal="center" vertical="center" wrapText="1"/>
    </xf>
    <xf numFmtId="0" fontId="28" fillId="0" borderId="93"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42" xfId="0" applyFont="1" applyBorder="1" applyAlignment="1">
      <alignment horizontal="center" vertical="center" wrapText="1"/>
    </xf>
    <xf numFmtId="0" fontId="37" fillId="0" borderId="102" xfId="0" applyFont="1" applyBorder="1" applyAlignment="1">
      <alignment horizontal="left" vertical="center" wrapText="1"/>
    </xf>
    <xf numFmtId="0" fontId="82" fillId="0" borderId="78" xfId="0" applyFont="1" applyBorder="1" applyAlignment="1">
      <alignment horizontal="left" vertical="center" wrapText="1"/>
    </xf>
    <xf numFmtId="0" fontId="82" fillId="0" borderId="18" xfId="0" applyFont="1" applyBorder="1" applyAlignment="1">
      <alignment horizontal="left" vertical="center" wrapText="1"/>
    </xf>
    <xf numFmtId="0" fontId="82" fillId="0" borderId="26" xfId="0" applyFont="1" applyBorder="1" applyAlignment="1">
      <alignment horizontal="left" vertical="center" wrapText="1"/>
    </xf>
    <xf numFmtId="0" fontId="0" fillId="11" borderId="12" xfId="0" applyFont="1" applyFill="1" applyBorder="1" applyAlignment="1">
      <alignment horizontal="center" wrapText="1"/>
    </xf>
    <xf numFmtId="0" fontId="0" fillId="11" borderId="57" xfId="0" applyFont="1" applyFill="1" applyBorder="1" applyAlignment="1">
      <alignment horizontal="center" wrapText="1"/>
    </xf>
    <xf numFmtId="0" fontId="0" fillId="11" borderId="123" xfId="0" applyFont="1" applyFill="1" applyBorder="1" applyAlignment="1">
      <alignment horizontal="center" wrapText="1"/>
    </xf>
    <xf numFmtId="0" fontId="0" fillId="11" borderId="50" xfId="0" applyFont="1" applyFill="1" applyBorder="1" applyAlignment="1">
      <alignment horizontal="center" wrapText="1"/>
    </xf>
    <xf numFmtId="0" fontId="34" fillId="11" borderId="122" xfId="0" applyFont="1" applyFill="1" applyBorder="1" applyAlignment="1">
      <alignment horizontal="left" wrapText="1"/>
    </xf>
    <xf numFmtId="0" fontId="34" fillId="11" borderId="17" xfId="0" applyFont="1" applyFill="1" applyBorder="1" applyAlignment="1">
      <alignment horizontal="left" wrapText="1"/>
    </xf>
    <xf numFmtId="0" fontId="13" fillId="11" borderId="119" xfId="0" applyFont="1" applyFill="1" applyBorder="1" applyAlignment="1">
      <alignment horizontal="center" wrapText="1"/>
    </xf>
    <xf numFmtId="0" fontId="13" fillId="11" borderId="18" xfId="0" applyFont="1" applyFill="1" applyBorder="1" applyAlignment="1">
      <alignment horizontal="center" wrapText="1"/>
    </xf>
    <xf numFmtId="0" fontId="0" fillId="0" borderId="93" xfId="0" applyBorder="1" applyAlignment="1">
      <alignment horizontal="left" vertical="top" wrapText="1"/>
    </xf>
    <xf numFmtId="0" fontId="55" fillId="0" borderId="18" xfId="0" applyFont="1" applyBorder="1" applyAlignment="1">
      <alignment horizontal="center" vertical="center" wrapText="1"/>
    </xf>
    <xf numFmtId="0" fontId="55" fillId="0" borderId="26" xfId="0" applyFont="1" applyBorder="1" applyAlignment="1">
      <alignment horizontal="center" vertical="center" wrapText="1"/>
    </xf>
    <xf numFmtId="0" fontId="114" fillId="0" borderId="215" xfId="0" applyFont="1" applyBorder="1" applyAlignment="1">
      <alignment horizontal="left" vertical="center" wrapText="1"/>
    </xf>
    <xf numFmtId="0" fontId="55" fillId="0" borderId="41" xfId="0" applyFont="1" applyBorder="1" applyAlignment="1"/>
    <xf numFmtId="0" fontId="114" fillId="0" borderId="38" xfId="0" applyFont="1" applyBorder="1" applyAlignment="1">
      <alignment horizontal="left"/>
    </xf>
    <xf numFmtId="0" fontId="55" fillId="0" borderId="42" xfId="0" applyFont="1" applyBorder="1" applyAlignment="1"/>
    <xf numFmtId="0" fontId="53" fillId="0" borderId="215" xfId="0" applyFont="1" applyBorder="1" applyAlignment="1">
      <alignment horizontal="left" vertical="center" wrapText="1"/>
    </xf>
    <xf numFmtId="0" fontId="0" fillId="2" borderId="227" xfId="0" applyFill="1" applyBorder="1" applyAlignment="1">
      <alignment horizontal="center"/>
    </xf>
    <xf numFmtId="0" fontId="0" fillId="2" borderId="228" xfId="0" applyFill="1" applyBorder="1" applyAlignment="1">
      <alignment horizontal="center"/>
    </xf>
    <xf numFmtId="0" fontId="27" fillId="12" borderId="229" xfId="0" applyFont="1" applyFill="1" applyBorder="1" applyAlignment="1">
      <alignment horizontal="left" wrapText="1"/>
    </xf>
    <xf numFmtId="0" fontId="177" fillId="0" borderId="102" xfId="0" applyFont="1" applyBorder="1" applyAlignment="1">
      <alignment horizontal="center" vertical="center" wrapText="1"/>
    </xf>
    <xf numFmtId="0" fontId="176" fillId="0" borderId="100" xfId="0" applyFont="1" applyBorder="1" applyAlignment="1">
      <alignment horizontal="center" vertical="center" wrapText="1"/>
    </xf>
    <xf numFmtId="0" fontId="176" fillId="0" borderId="38" xfId="0" applyFont="1" applyBorder="1" applyAlignment="1">
      <alignment horizontal="center" vertical="center" wrapText="1"/>
    </xf>
    <xf numFmtId="0" fontId="56" fillId="7" borderId="216" xfId="0" applyFont="1" applyFill="1" applyBorder="1" applyAlignment="1">
      <alignment horizontal="center"/>
    </xf>
    <xf numFmtId="0" fontId="56" fillId="7" borderId="141" xfId="0" applyFont="1" applyFill="1" applyBorder="1" applyAlignment="1">
      <alignment horizontal="center"/>
    </xf>
    <xf numFmtId="0" fontId="178" fillId="0" borderId="100" xfId="0" applyFont="1" applyBorder="1" applyAlignment="1">
      <alignment horizontal="center" vertical="center" wrapText="1"/>
    </xf>
    <xf numFmtId="0" fontId="176" fillId="0" borderId="41" xfId="0" applyFont="1" applyBorder="1" applyAlignment="1">
      <alignment horizontal="center" vertical="center" wrapText="1"/>
    </xf>
    <xf numFmtId="0" fontId="178" fillId="0" borderId="38" xfId="0" applyFont="1" applyBorder="1" applyAlignment="1">
      <alignment horizontal="center" vertical="center" wrapText="1"/>
    </xf>
    <xf numFmtId="0" fontId="176" fillId="0" borderId="42" xfId="0" applyFont="1" applyBorder="1" applyAlignment="1">
      <alignment horizontal="center" vertical="center" wrapText="1"/>
    </xf>
    <xf numFmtId="0" fontId="0" fillId="7" borderId="0" xfId="0" applyFill="1" applyBorder="1" applyAlignment="1">
      <alignment horizontal="center" wrapText="1"/>
    </xf>
    <xf numFmtId="0" fontId="176" fillId="0" borderId="100" xfId="0" applyFont="1" applyBorder="1" applyAlignment="1">
      <alignment horizontal="center"/>
    </xf>
    <xf numFmtId="0" fontId="176" fillId="0" borderId="38" xfId="0" applyFont="1" applyBorder="1" applyAlignment="1">
      <alignment horizontal="center"/>
    </xf>
    <xf numFmtId="0" fontId="0" fillId="0" borderId="93" xfId="0" applyNumberFormat="1" applyBorder="1" applyAlignment="1">
      <alignment wrapText="1"/>
    </xf>
    <xf numFmtId="0" fontId="0" fillId="0" borderId="41" xfId="0" applyNumberFormat="1" applyBorder="1" applyAlignment="1">
      <alignment wrapText="1"/>
    </xf>
    <xf numFmtId="0" fontId="0" fillId="0" borderId="42" xfId="0" applyNumberFormat="1" applyBorder="1" applyAlignment="1">
      <alignment wrapText="1"/>
    </xf>
    <xf numFmtId="0" fontId="172" fillId="0" borderId="100" xfId="0" applyFont="1" applyBorder="1" applyAlignment="1">
      <alignment horizontal="center" vertical="center" wrapText="1"/>
    </xf>
    <xf numFmtId="0" fontId="172" fillId="0" borderId="41" xfId="0" applyFont="1" applyBorder="1" applyAlignment="1">
      <alignment horizontal="center"/>
    </xf>
    <xf numFmtId="0" fontId="172" fillId="0" borderId="38" xfId="0" applyFont="1" applyBorder="1" applyAlignment="1">
      <alignment horizontal="center"/>
    </xf>
    <xf numFmtId="0" fontId="172" fillId="0" borderId="42" xfId="0" applyFont="1" applyBorder="1" applyAlignment="1">
      <alignment horizontal="center"/>
    </xf>
    <xf numFmtId="0" fontId="176" fillId="0" borderId="103" xfId="0" applyFont="1" applyBorder="1" applyAlignment="1">
      <alignment horizontal="center" wrapText="1"/>
    </xf>
    <xf numFmtId="0" fontId="176" fillId="0" borderId="93" xfId="0" applyFont="1" applyBorder="1" applyAlignment="1">
      <alignment horizontal="center" wrapText="1"/>
    </xf>
    <xf numFmtId="0" fontId="176" fillId="0" borderId="101" xfId="0" applyFont="1" applyBorder="1" applyAlignment="1">
      <alignment horizontal="center" wrapText="1"/>
    </xf>
    <xf numFmtId="0" fontId="176" fillId="0" borderId="41" xfId="0" applyFont="1" applyBorder="1" applyAlignment="1">
      <alignment horizontal="center" wrapText="1"/>
    </xf>
    <xf numFmtId="0" fontId="176" fillId="0" borderId="104" xfId="0" applyFont="1" applyBorder="1" applyAlignment="1">
      <alignment horizontal="center" wrapText="1"/>
    </xf>
    <xf numFmtId="0" fontId="176" fillId="0" borderId="42" xfId="0" applyFont="1" applyBorder="1" applyAlignment="1">
      <alignment horizontal="center" wrapText="1"/>
    </xf>
    <xf numFmtId="0" fontId="173" fillId="0" borderId="100" xfId="0" applyFont="1" applyBorder="1" applyAlignment="1">
      <alignment horizontal="center" vertical="center" wrapText="1"/>
    </xf>
    <xf numFmtId="0" fontId="0" fillId="0" borderId="100" xfId="0" applyBorder="1" applyAlignment="1">
      <alignment horizontal="center" vertical="center" wrapText="1"/>
    </xf>
    <xf numFmtId="0" fontId="0" fillId="0" borderId="38" xfId="0" applyBorder="1" applyAlignment="1">
      <alignment horizontal="center" vertical="center" wrapText="1"/>
    </xf>
    <xf numFmtId="0" fontId="175" fillId="0" borderId="100" xfId="0" applyFont="1" applyBorder="1" applyAlignment="1">
      <alignment horizontal="center" vertical="center" wrapText="1"/>
    </xf>
    <xf numFmtId="0" fontId="175" fillId="0" borderId="41" xfId="0" applyFont="1" applyBorder="1" applyAlignment="1">
      <alignment horizontal="center"/>
    </xf>
    <xf numFmtId="0" fontId="175" fillId="0" borderId="38" xfId="0" applyFont="1" applyBorder="1" applyAlignment="1">
      <alignment horizontal="center"/>
    </xf>
    <xf numFmtId="0" fontId="175" fillId="0" borderId="42" xfId="0" applyFont="1" applyBorder="1" applyAlignment="1">
      <alignment horizontal="center"/>
    </xf>
    <xf numFmtId="0" fontId="172" fillId="0" borderId="100" xfId="0" applyFont="1" applyBorder="1" applyAlignment="1">
      <alignment horizontal="center"/>
    </xf>
    <xf numFmtId="0" fontId="174" fillId="0" borderId="100" xfId="0" applyFont="1" applyBorder="1" applyAlignment="1">
      <alignment horizontal="center" vertical="center" wrapText="1"/>
    </xf>
    <xf numFmtId="0" fontId="0" fillId="0" borderId="100" xfId="0" applyBorder="1" applyAlignment="1">
      <alignment horizontal="center"/>
    </xf>
    <xf numFmtId="0" fontId="0" fillId="0" borderId="38" xfId="0" applyBorder="1" applyAlignment="1">
      <alignment horizontal="center"/>
    </xf>
    <xf numFmtId="0" fontId="1" fillId="0" borderId="41" xfId="0" applyFont="1" applyBorder="1" applyAlignment="1">
      <alignment horizontal="center" wrapText="1"/>
    </xf>
    <xf numFmtId="0" fontId="1" fillId="0" borderId="42" xfId="0" applyFont="1" applyBorder="1" applyAlignment="1">
      <alignment horizontal="center" wrapText="1"/>
    </xf>
    <xf numFmtId="0" fontId="170" fillId="0" borderId="100" xfId="0" applyFont="1" applyBorder="1" applyAlignment="1">
      <alignment horizontal="center" vertical="center" wrapText="1"/>
    </xf>
    <xf numFmtId="0" fontId="0" fillId="0" borderId="100" xfId="0" applyBorder="1" applyAlignment="1"/>
    <xf numFmtId="0" fontId="0" fillId="0" borderId="100" xfId="0" applyBorder="1" applyAlignment="1">
      <alignment horizontal="left" vertical="center" wrapText="1"/>
    </xf>
    <xf numFmtId="0" fontId="0" fillId="0" borderId="38" xfId="0" applyBorder="1" applyAlignment="1">
      <alignment horizontal="left" vertical="center" wrapText="1"/>
    </xf>
    <xf numFmtId="0" fontId="171" fillId="0" borderId="41" xfId="0" applyFont="1" applyBorder="1" applyAlignment="1">
      <alignment horizontal="center" vertical="center" wrapText="1"/>
    </xf>
    <xf numFmtId="0" fontId="170" fillId="0" borderId="38" xfId="0" applyFont="1" applyBorder="1" applyAlignment="1">
      <alignment horizontal="center" vertical="center" wrapText="1"/>
    </xf>
    <xf numFmtId="0" fontId="171" fillId="0" borderId="42" xfId="0" applyFont="1" applyBorder="1" applyAlignment="1">
      <alignment horizontal="center" vertical="center" wrapText="1"/>
    </xf>
    <xf numFmtId="0" fontId="3" fillId="0" borderId="78" xfId="0" applyFont="1" applyBorder="1" applyAlignment="1">
      <alignment horizontal="left" vertical="top" wrapText="1"/>
    </xf>
    <xf numFmtId="0" fontId="16" fillId="0" borderId="102" xfId="0" applyFont="1" applyBorder="1" applyAlignment="1">
      <alignment horizontal="left" vertical="top" wrapText="1"/>
    </xf>
    <xf numFmtId="0" fontId="16" fillId="0" borderId="100" xfId="0" applyFont="1" applyBorder="1" applyAlignment="1">
      <alignment horizontal="left" vertical="top" wrapText="1"/>
    </xf>
    <xf numFmtId="0" fontId="16" fillId="0" borderId="38" xfId="0" applyFont="1" applyBorder="1" applyAlignment="1">
      <alignment horizontal="left" vertical="top" wrapText="1"/>
    </xf>
    <xf numFmtId="0" fontId="62" fillId="0" borderId="100" xfId="0" applyFont="1" applyBorder="1" applyAlignment="1">
      <alignment horizontal="left" vertical="top" wrapText="1"/>
    </xf>
    <xf numFmtId="0" fontId="0" fillId="0" borderId="41" xfId="0" applyBorder="1" applyAlignment="1">
      <alignment horizontal="left" vertical="top"/>
    </xf>
    <xf numFmtId="0" fontId="0" fillId="0" borderId="42" xfId="0" applyBorder="1" applyAlignment="1">
      <alignment horizontal="left" vertical="top"/>
    </xf>
    <xf numFmtId="0" fontId="62" fillId="0" borderId="100" xfId="0" applyFont="1" applyBorder="1" applyAlignment="1">
      <alignment horizontal="left" vertical="top" wrapText="1" readingOrder="1"/>
    </xf>
    <xf numFmtId="0" fontId="0" fillId="0" borderId="41" xfId="0" applyBorder="1" applyAlignment="1">
      <alignment horizontal="left" vertical="top" readingOrder="1"/>
    </xf>
    <xf numFmtId="0" fontId="28" fillId="0" borderId="100" xfId="0" applyFont="1" applyBorder="1" applyAlignment="1">
      <alignment horizontal="left" vertical="top" wrapText="1" readingOrder="1"/>
    </xf>
    <xf numFmtId="0" fontId="28" fillId="0" borderId="38" xfId="0" applyFont="1" applyBorder="1" applyAlignment="1">
      <alignment horizontal="left" vertical="top" readingOrder="1"/>
    </xf>
    <xf numFmtId="0" fontId="0" fillId="0" borderId="42" xfId="0" applyBorder="1" applyAlignment="1">
      <alignment horizontal="left" vertical="top" readingOrder="1"/>
    </xf>
    <xf numFmtId="0" fontId="62" fillId="0" borderId="100" xfId="0" applyFont="1" applyBorder="1" applyAlignment="1">
      <alignment horizontal="left" vertical="center" wrapText="1"/>
    </xf>
    <xf numFmtId="0" fontId="1" fillId="0" borderId="38" xfId="0" applyFont="1" applyBorder="1" applyAlignment="1">
      <alignment horizontal="left" vertical="top" wrapText="1"/>
    </xf>
    <xf numFmtId="0" fontId="1" fillId="0" borderId="42" xfId="0" applyFont="1" applyBorder="1" applyAlignment="1">
      <alignment horizontal="left" vertical="top" wrapText="1"/>
    </xf>
    <xf numFmtId="0" fontId="21" fillId="0" borderId="38" xfId="0" applyFont="1" applyBorder="1" applyAlignment="1">
      <alignment horizontal="left" vertical="top"/>
    </xf>
    <xf numFmtId="0" fontId="11" fillId="0" borderId="0" xfId="0" applyFont="1" applyAlignment="1"/>
    <xf numFmtId="0" fontId="181" fillId="0" borderId="0" xfId="0" applyFont="1" applyAlignment="1"/>
    <xf numFmtId="0" fontId="37" fillId="0" borderId="118" xfId="0" applyFont="1" applyBorder="1" applyAlignment="1">
      <alignment horizontal="left" vertical="top" wrapText="1"/>
    </xf>
    <xf numFmtId="0" fontId="0" fillId="0" borderId="217" xfId="0" applyBorder="1" applyAlignment="1">
      <alignment horizontal="left" vertical="top" wrapText="1"/>
    </xf>
    <xf numFmtId="0" fontId="55" fillId="0" borderId="100" xfId="5" applyFont="1" applyBorder="1" applyAlignment="1">
      <alignment horizontal="left" vertical="center" wrapText="1"/>
    </xf>
    <xf numFmtId="0" fontId="55" fillId="0" borderId="41" xfId="5" applyFont="1" applyBorder="1" applyAlignment="1">
      <alignment vertical="center" wrapText="1"/>
    </xf>
    <xf numFmtId="0" fontId="55" fillId="0" borderId="38" xfId="5" applyFont="1" applyBorder="1" applyAlignment="1">
      <alignment horizontal="left" vertical="center" wrapText="1"/>
    </xf>
    <xf numFmtId="0" fontId="55" fillId="0" borderId="42" xfId="5" applyFont="1" applyBorder="1" applyAlignment="1">
      <alignment vertical="center" wrapText="1"/>
    </xf>
    <xf numFmtId="0" fontId="6" fillId="2" borderId="252" xfId="0" applyFont="1" applyFill="1" applyBorder="1" applyAlignment="1">
      <alignment horizontal="left" vertical="top" wrapText="1"/>
    </xf>
    <xf numFmtId="0" fontId="37" fillId="0" borderId="254" xfId="0" applyFont="1" applyBorder="1" applyAlignment="1">
      <alignment horizontal="left" vertical="top" wrapText="1"/>
    </xf>
    <xf numFmtId="0" fontId="15" fillId="0" borderId="254" xfId="0" applyFont="1" applyBorder="1" applyAlignment="1">
      <alignment horizontal="left" vertical="top" wrapText="1"/>
    </xf>
    <xf numFmtId="0" fontId="0" fillId="0" borderId="255" xfId="0" applyBorder="1" applyAlignment="1">
      <alignment horizontal="left" vertical="top" wrapText="1"/>
    </xf>
    <xf numFmtId="0" fontId="18" fillId="0" borderId="254" xfId="0" applyFont="1" applyBorder="1" applyAlignment="1">
      <alignment horizontal="left" vertical="center" wrapText="1"/>
    </xf>
    <xf numFmtId="0" fontId="15" fillId="0" borderId="254" xfId="0" applyFont="1" applyBorder="1" applyAlignment="1">
      <alignment horizontal="left" vertical="center" wrapText="1"/>
    </xf>
    <xf numFmtId="0" fontId="0" fillId="0" borderId="255" xfId="0" applyBorder="1" applyAlignment="1">
      <alignment vertical="center" wrapText="1"/>
    </xf>
    <xf numFmtId="0" fontId="0" fillId="0" borderId="255" xfId="0" applyBorder="1" applyAlignment="1">
      <alignment wrapText="1"/>
    </xf>
    <xf numFmtId="0" fontId="27" fillId="6" borderId="253" xfId="0" applyFont="1" applyFill="1" applyBorder="1" applyAlignment="1">
      <alignment horizontal="left"/>
    </xf>
    <xf numFmtId="0" fontId="62" fillId="0" borderId="254" xfId="0" applyFont="1" applyBorder="1" applyAlignment="1">
      <alignment horizontal="left" vertical="top" wrapText="1"/>
    </xf>
    <xf numFmtId="0" fontId="28" fillId="0" borderId="254" xfId="0" applyFont="1" applyBorder="1" applyAlignment="1">
      <alignment horizontal="left" vertical="top" wrapText="1"/>
    </xf>
    <xf numFmtId="0" fontId="0" fillId="0" borderId="255" xfId="0" applyBorder="1" applyAlignment="1"/>
    <xf numFmtId="0" fontId="21" fillId="0" borderId="254" xfId="0" applyFont="1" applyBorder="1" applyAlignment="1">
      <alignment horizontal="left" vertical="top" wrapText="1"/>
    </xf>
    <xf numFmtId="0" fontId="0" fillId="0" borderId="255" xfId="0" applyBorder="1" applyAlignment="1">
      <alignment horizontal="left" vertical="top"/>
    </xf>
    <xf numFmtId="0" fontId="27" fillId="11" borderId="253" xfId="0" applyFont="1" applyFill="1" applyBorder="1" applyAlignment="1">
      <alignment horizontal="left" wrapText="1"/>
    </xf>
    <xf numFmtId="0" fontId="31" fillId="0" borderId="254" xfId="0" applyFont="1" applyBorder="1" applyAlignment="1">
      <alignment horizontal="left" vertical="top" wrapText="1"/>
    </xf>
    <xf numFmtId="0" fontId="62" fillId="0" borderId="254" xfId="0" applyFont="1" applyBorder="1" applyAlignment="1">
      <alignment horizontal="left" vertical="top" wrapText="1" readingOrder="1"/>
    </xf>
    <xf numFmtId="0" fontId="28" fillId="0" borderId="254" xfId="0" applyFont="1" applyBorder="1" applyAlignment="1">
      <alignment horizontal="left" vertical="top" wrapText="1" readingOrder="1"/>
    </xf>
    <xf numFmtId="0" fontId="0" fillId="0" borderId="255" xfId="0" applyBorder="1" applyAlignment="1">
      <alignment horizontal="left" vertical="top" readingOrder="1"/>
    </xf>
    <xf numFmtId="0" fontId="62" fillId="0" borderId="254" xfId="0" applyFont="1" applyBorder="1" applyAlignment="1">
      <alignment horizontal="left" vertical="center" wrapText="1"/>
    </xf>
    <xf numFmtId="0" fontId="28" fillId="0" borderId="254" xfId="0" applyFont="1" applyBorder="1" applyAlignment="1">
      <alignment horizontal="left" vertical="center" wrapText="1"/>
    </xf>
    <xf numFmtId="0" fontId="31" fillId="0" borderId="254" xfId="0" applyFont="1" applyBorder="1" applyAlignment="1">
      <alignment horizontal="left" vertical="center" wrapText="1"/>
    </xf>
    <xf numFmtId="0" fontId="18" fillId="0" borderId="254" xfId="0" applyFont="1" applyBorder="1" applyAlignment="1">
      <alignment horizontal="left" vertical="top" wrapText="1"/>
    </xf>
    <xf numFmtId="0" fontId="27" fillId="12" borderId="253" xfId="0" applyFont="1" applyFill="1" applyBorder="1" applyAlignment="1">
      <alignment horizontal="left" wrapText="1"/>
    </xf>
    <xf numFmtId="0" fontId="27" fillId="12" borderId="254" xfId="0" applyFont="1" applyFill="1" applyBorder="1" applyAlignment="1">
      <alignment horizontal="left" wrapText="1"/>
    </xf>
    <xf numFmtId="0" fontId="16" fillId="0" borderId="254" xfId="0" applyFont="1" applyBorder="1" applyAlignment="1">
      <alignment horizontal="left" vertical="top" wrapText="1"/>
    </xf>
    <xf numFmtId="0" fontId="27" fillId="13" borderId="253" xfId="0" applyFont="1" applyFill="1" applyBorder="1" applyAlignment="1">
      <alignment horizontal="left" wrapText="1"/>
    </xf>
  </cellXfs>
  <cellStyles count="6">
    <cellStyle name="Dziesiętny" xfId="1" builtinId="3"/>
    <cellStyle name="Excel Built-in Normal" xfId="3"/>
    <cellStyle name="Hiperłącze" xfId="5" builtinId="8"/>
    <cellStyle name="Normalny" xfId="0" builtinId="0"/>
    <cellStyle name="Normalny 2" xfId="4"/>
    <cellStyle name="Normalny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Z/WSS%202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ZEM GZ"/>
      <sheetName val="RAZEM PB"/>
      <sheetName val="RAZEM ROW"/>
      <sheetName val="RAZEM SSO"/>
      <sheetName val="RAZEM SAR"/>
      <sheetName val="RAZEM RR"/>
      <sheetName val="RAZEM BPT"/>
      <sheetName val="RAZEM WSZYSCY 2016"/>
      <sheetName val="PO 2015 WSS"/>
      <sheetName val="WSS_razem 2015_2017"/>
      <sheetName val="WSS 2015"/>
      <sheetName val="WSS 2016"/>
      <sheetName val="WSS 2017"/>
      <sheetName val="WSS 2016_2017 stan 31.12.2017"/>
    </sheetNames>
    <sheetDataSet>
      <sheetData sheetId="0"/>
      <sheetData sheetId="1"/>
      <sheetData sheetId="2"/>
      <sheetData sheetId="3"/>
      <sheetData sheetId="4"/>
      <sheetData sheetId="5"/>
      <sheetData sheetId="6"/>
      <sheetData sheetId="7"/>
      <sheetData sheetId="8"/>
      <sheetData sheetId="9"/>
      <sheetData sheetId="10">
        <row r="17">
          <cell r="B17" t="str">
            <v>Organizacja 27 jednodniowych szkoleń dot. efektów PROW 2007-2013 oraz PROW 2014-2020, spotkanie informacyjne "Transfer wiedzy i działalność informacyjna PROW 2014-2020", impreza wystawiennicza z udziałem szkół rolniczych prowadoznych przez MRiRW w zakresie promowania PROW 2014-2020, 5 imrez targowych (Siedlce, Bednary, Częstochowa, Spała, Natura Food), spotkanie informacyne dot. PROW w ramach Krajowego Kongeru Rolnictwa RP Konferencja dla kadry zarządzającej ZSCKR z wyjazdem studyjnym, Konferencja dla dyrektorów szkół rolniczych w zakresie działań info-promo PROW, konferencja dot. prezentacji i promocji innowacyjnych rozwiązań technologicznych oraz metod produkcji, szkolenie nt rozpoznawania i monitoringu agrofagów, podsumowanie konkursu na najlepsze czasopismo wydawnicze. Spotkanie w ramach Nordycko-Baltyckiej Sieci Obszarów WIejskich.</v>
          </cell>
        </row>
        <row r="18">
          <cell r="B18"/>
          <cell r="D18"/>
          <cell r="E18">
            <v>41</v>
          </cell>
          <cell r="F18"/>
          <cell r="G18">
            <v>41</v>
          </cell>
          <cell r="H18">
            <v>7</v>
          </cell>
          <cell r="I18">
            <v>1</v>
          </cell>
          <cell r="J18">
            <v>2</v>
          </cell>
          <cell r="K18">
            <v>3</v>
          </cell>
          <cell r="L18"/>
          <cell r="M18"/>
          <cell r="N18">
            <v>1</v>
          </cell>
          <cell r="O18">
            <v>27</v>
          </cell>
        </row>
        <row r="19">
          <cell r="B19"/>
        </row>
        <row r="20">
          <cell r="B20"/>
        </row>
        <row r="21">
          <cell r="B21"/>
        </row>
        <row r="22">
          <cell r="B22"/>
        </row>
        <row r="23">
          <cell r="B23"/>
        </row>
        <row r="24">
          <cell r="B24"/>
        </row>
        <row r="28">
          <cell r="B28" t="str">
            <v>Organizacja 27 jednodniowych szkoleń dot. efektów PROW 2007-2013 oraz PROW 2014-2020 - 2700, spotkanie informacyjne "Transfer wiedzy i działalność informacyjna PROW 2014-2020" -83, impreza wystawiennicza z udziałem szkół rolniczych prowadoznych przez MRiRW w zakresie promowania PROW 2014-2020 - 51, 5 imrez targowych (Siedlce, Bednary, Częstochowa, Spała, Natura Food) - ok. 272000 odwiedzających, spotkanie informacyne dot. PROW w ramach Krajowego Kongeru Rolnictwa RP - 164 Konferencja dla kadry zarządzającej ZSCKR z wyjazdem studyjnym (1 dla 57 osób), Konferencja dla dyrektorów szkół rolniczych w zakresie działań info-promo PROW (1 dla 66 osób), konferencja dot. prezentacji i promocji innowacyjnych rozwiązań technologicznych oraz metod produkcji (1 dla 150 osób), szkolenie nt rozpoznawania i monitoringu agrofagów (88 osób), podsumowanie konkursu na nalepsze czasopismo wydawnicze (1 dla 35 osób).Spotkanie w ramach Nordycko-Baltyckiej Sieci Obszarów WIejskich.</v>
          </cell>
        </row>
        <row r="29">
          <cell r="B29"/>
          <cell r="D29"/>
          <cell r="E29">
            <v>275420</v>
          </cell>
          <cell r="F29"/>
          <cell r="G29">
            <v>275420</v>
          </cell>
        </row>
        <row r="30">
          <cell r="B30"/>
        </row>
        <row r="31">
          <cell r="B31"/>
        </row>
        <row r="32">
          <cell r="B32"/>
        </row>
        <row r="33">
          <cell r="B33"/>
        </row>
        <row r="34">
          <cell r="B34"/>
        </row>
        <row r="35">
          <cell r="B35"/>
        </row>
        <row r="40">
          <cell r="B40"/>
        </row>
        <row r="41">
          <cell r="B41"/>
          <cell r="D41"/>
          <cell r="E41"/>
        </row>
        <row r="42">
          <cell r="B42"/>
        </row>
        <row r="43">
          <cell r="B43"/>
        </row>
        <row r="44">
          <cell r="B44"/>
        </row>
        <row r="45">
          <cell r="B45"/>
        </row>
        <row r="46">
          <cell r="B46"/>
        </row>
        <row r="47">
          <cell r="B47"/>
        </row>
        <row r="52">
          <cell r="D52"/>
          <cell r="E52"/>
          <cell r="F52"/>
          <cell r="G52"/>
          <cell r="H52"/>
          <cell r="I52"/>
          <cell r="J52"/>
          <cell r="K52"/>
        </row>
        <row r="62">
          <cell r="B62" t="str">
            <v>1. Zamieszczenie w Kalendarzu Rolników na 2016 rok materiału informacyjno-promocyjnego MRiRW dotyczącego efektów realizacji PROW 2007-2013 ora PROW 2014-2020 -nakład 300 000
2. Zamieszczenie w wydaniu okolicznościowym "Gazety targowej", materiału informacyjno-promocyjnego MRiRW dotyczącego efektów realizacji PROW 2017-2013 oraz PROW 2014-2020 - nakład 3 000
3. Wykonanie kalendarzy  w ilości 2000 szt.
4. Publikacja 10 artykułów</v>
          </cell>
        </row>
        <row r="63">
          <cell r="B63"/>
          <cell r="D63">
            <v>13</v>
          </cell>
          <cell r="E63"/>
          <cell r="F63"/>
          <cell r="G63"/>
          <cell r="H63"/>
          <cell r="I63"/>
          <cell r="J63"/>
          <cell r="K63"/>
          <cell r="L63">
            <v>13</v>
          </cell>
        </row>
        <row r="64">
          <cell r="B64"/>
        </row>
        <row r="65">
          <cell r="B65"/>
        </row>
        <row r="66">
          <cell r="B66"/>
        </row>
        <row r="67">
          <cell r="B67"/>
        </row>
        <row r="68">
          <cell r="B68"/>
        </row>
        <row r="69">
          <cell r="B69"/>
        </row>
        <row r="72">
          <cell r="B72" t="str">
            <v>1. Produkcja i emisja audycji na antenie Programu Pierwszego Polskiego Radia, dotycząca efektów realizacji PROW 2007-2013 oraz prezentujących PROW 2014-2020 oraz umieszczanie audycji w wersji dźwiękowej na portalu - 18 audycji i strona internetowa
2. Produkcja i emisja magazynu rolniczego pt. "Magazyn Wielkopolskich Rolników" prezentującego efekty realizacji PROW 2007-2013 oraz nowy okres programowania -PROW 2014020 na antenie Radia Merkury - 30 audycji i strona internetowa 
3. Produkcja i emisja  programów radiowych pt. "Radiowe Dożynki 2015, czyli nowe perspektywy dla rolnictwa wschodniej Polski w ramach nowej perspektywy finansowej i działania PROW 2014-2020, prezentujących efekty realizacji PROW 2007-2013 oraz nowy okres oprogramowania na antenie Katolickiego Radia Podlasie - 8 audycji i strona internetowa
4. Emisja watków na temat efektów realizacji PROW 2007-2013 oraz 2014-2020 w programie "Dzień dobry w sobote" - 6 audycji.
5. Kampania informacyjno-edukacyjna na temat PROW 2014-2020 oraz efektów realizacji PROW 2007-2013 w audycji "Wielki test o zywności. Polska Smakuje"</v>
          </cell>
        </row>
        <row r="73">
          <cell r="B73"/>
          <cell r="D73">
            <v>63</v>
          </cell>
          <cell r="E73"/>
          <cell r="F73">
            <v>3</v>
          </cell>
          <cell r="G73">
            <v>66</v>
          </cell>
          <cell r="H73"/>
          <cell r="I73"/>
          <cell r="J73"/>
          <cell r="K73"/>
          <cell r="L73"/>
          <cell r="M73"/>
          <cell r="N73"/>
          <cell r="O73">
            <v>66</v>
          </cell>
        </row>
        <row r="74">
          <cell r="B74"/>
        </row>
        <row r="75">
          <cell r="B75"/>
        </row>
        <row r="76">
          <cell r="B76"/>
        </row>
        <row r="77">
          <cell r="B77"/>
        </row>
        <row r="78">
          <cell r="B78"/>
        </row>
        <row r="79">
          <cell r="B79"/>
        </row>
        <row r="85">
          <cell r="B85"/>
        </row>
        <row r="86">
          <cell r="B86"/>
          <cell r="D86"/>
          <cell r="E86"/>
          <cell r="F86"/>
          <cell r="G86"/>
          <cell r="H86"/>
          <cell r="I86"/>
          <cell r="J86"/>
          <cell r="K86"/>
        </row>
        <row r="87">
          <cell r="B87"/>
        </row>
        <row r="88">
          <cell r="B88"/>
        </row>
        <row r="89">
          <cell r="B89"/>
        </row>
        <row r="90">
          <cell r="B90"/>
        </row>
        <row r="91">
          <cell r="B91"/>
        </row>
        <row r="92">
          <cell r="B92"/>
        </row>
        <row r="98">
          <cell r="B98"/>
        </row>
        <row r="99">
          <cell r="B99"/>
          <cell r="D99"/>
          <cell r="E99"/>
          <cell r="F99"/>
          <cell r="G99"/>
          <cell r="H99"/>
          <cell r="I99"/>
          <cell r="J99"/>
          <cell r="K99"/>
          <cell r="L99"/>
          <cell r="M99"/>
        </row>
        <row r="100">
          <cell r="B100"/>
        </row>
        <row r="101">
          <cell r="B101"/>
        </row>
        <row r="102">
          <cell r="B102"/>
        </row>
        <row r="103">
          <cell r="B103"/>
        </row>
        <row r="104">
          <cell r="B104"/>
        </row>
        <row r="105">
          <cell r="B105"/>
        </row>
        <row r="109">
          <cell r="B109"/>
        </row>
        <row r="110">
          <cell r="B110"/>
          <cell r="D110"/>
          <cell r="E110"/>
          <cell r="F110"/>
          <cell r="G110"/>
          <cell r="H110"/>
          <cell r="I110"/>
          <cell r="J110"/>
          <cell r="K110"/>
          <cell r="L110"/>
        </row>
        <row r="111">
          <cell r="B111"/>
        </row>
        <row r="112">
          <cell r="B112"/>
        </row>
        <row r="113">
          <cell r="B113"/>
        </row>
        <row r="114">
          <cell r="B114"/>
        </row>
        <row r="115">
          <cell r="B115"/>
        </row>
        <row r="116">
          <cell r="B116"/>
        </row>
        <row r="120">
          <cell r="B120"/>
        </row>
        <row r="121">
          <cell r="B121"/>
          <cell r="D121"/>
          <cell r="E121"/>
          <cell r="F121"/>
          <cell r="G121"/>
          <cell r="H121"/>
          <cell r="I121"/>
          <cell r="J121"/>
          <cell r="K121"/>
          <cell r="L121"/>
        </row>
        <row r="122">
          <cell r="B122"/>
        </row>
        <row r="123">
          <cell r="B123"/>
        </row>
        <row r="124">
          <cell r="B124"/>
        </row>
        <row r="125">
          <cell r="B125"/>
        </row>
        <row r="126">
          <cell r="B126"/>
        </row>
        <row r="127">
          <cell r="B127"/>
        </row>
        <row r="144">
          <cell r="B144" t="str">
            <v>Wystąpiła trudnośc podczas przyporządkowywania spotkań/konferencji do poszczególnych rodzajów inicjatyw, ze względu na fakt, iż niektóre programy  spotkań/konferencji dotyczyły więcej niż jednego obszaru , tzw. spotkania łączone. Natomiast w części tabeli wg głównego organizatora jest zbyt mało możliwości wyboru, gdyż głównym organizatorem jest podmiot inny niż wskazany w tej tabeli, np. Parlament Europejski we współpracy z KE i ENRD (ENRD nie była głównym organizatorem), KE we współpracy z ENRD. Jednocześnie niektóre wyjazdy były finansowane z innych środkow niż w ramach funkcjonowania sieci, co utrudnia identyfikację aktywnego udziału przedstawiciela podmiotu, który delegował daną osobę na spotkanie.</v>
          </cell>
        </row>
        <row r="145">
          <cell r="B145"/>
          <cell r="D145">
            <v>1</v>
          </cell>
          <cell r="E145">
            <v>2</v>
          </cell>
          <cell r="F145">
            <v>3</v>
          </cell>
          <cell r="G145">
            <v>3</v>
          </cell>
          <cell r="H145">
            <v>2</v>
          </cell>
          <cell r="I145">
            <v>9</v>
          </cell>
          <cell r="J145">
            <v>4</v>
          </cell>
          <cell r="K145">
            <v>1</v>
          </cell>
          <cell r="L145"/>
          <cell r="M145"/>
          <cell r="N145"/>
        </row>
        <row r="146">
          <cell r="B146"/>
        </row>
        <row r="147">
          <cell r="B147"/>
        </row>
        <row r="148">
          <cell r="B148"/>
        </row>
        <row r="149">
          <cell r="B149"/>
        </row>
        <row r="150">
          <cell r="B150"/>
        </row>
        <row r="151">
          <cell r="B151"/>
        </row>
        <row r="155">
          <cell r="B155"/>
        </row>
        <row r="156">
          <cell r="B156"/>
          <cell r="D156"/>
          <cell r="E156"/>
          <cell r="F156"/>
          <cell r="G156">
            <v>0</v>
          </cell>
          <cell r="H156"/>
          <cell r="I156"/>
          <cell r="J156"/>
        </row>
        <row r="157">
          <cell r="B157"/>
        </row>
        <row r="158">
          <cell r="B158"/>
        </row>
        <row r="159">
          <cell r="B159"/>
        </row>
        <row r="160">
          <cell r="B160"/>
        </row>
        <row r="161">
          <cell r="B161"/>
        </row>
        <row r="162">
          <cell r="B162"/>
        </row>
        <row r="165">
          <cell r="B165"/>
        </row>
        <row r="166">
          <cell r="B166"/>
          <cell r="D166"/>
          <cell r="E166"/>
          <cell r="F166"/>
          <cell r="G166"/>
          <cell r="H166"/>
          <cell r="I166"/>
          <cell r="J166">
            <v>0</v>
          </cell>
          <cell r="K166">
            <v>0</v>
          </cell>
        </row>
        <row r="167">
          <cell r="B167"/>
        </row>
        <row r="168">
          <cell r="B168"/>
        </row>
        <row r="169">
          <cell r="B169"/>
        </row>
        <row r="170">
          <cell r="B170"/>
        </row>
        <row r="171">
          <cell r="B171"/>
        </row>
        <row r="172">
          <cell r="B172"/>
        </row>
        <row r="178">
          <cell r="B178"/>
        </row>
        <row r="179">
          <cell r="B179"/>
          <cell r="D179"/>
          <cell r="E179">
            <v>1</v>
          </cell>
          <cell r="F179"/>
          <cell r="G179">
            <v>1</v>
          </cell>
          <cell r="H179">
            <v>3</v>
          </cell>
          <cell r="I179"/>
          <cell r="J179">
            <v>1</v>
          </cell>
          <cell r="K179"/>
          <cell r="L179"/>
          <cell r="M179"/>
          <cell r="N179"/>
          <cell r="O179"/>
        </row>
        <row r="180">
          <cell r="B180"/>
        </row>
        <row r="181">
          <cell r="B181"/>
        </row>
        <row r="182">
          <cell r="B182"/>
        </row>
        <row r="183">
          <cell r="B183"/>
        </row>
        <row r="184">
          <cell r="B184"/>
        </row>
        <row r="185">
          <cell r="B185"/>
        </row>
        <row r="189">
          <cell r="B189"/>
        </row>
        <row r="190">
          <cell r="B190"/>
          <cell r="D190"/>
          <cell r="E190">
            <v>29</v>
          </cell>
          <cell r="F190"/>
          <cell r="G190">
            <v>29</v>
          </cell>
          <cell r="H190">
            <v>29</v>
          </cell>
          <cell r="I190"/>
          <cell r="J190"/>
          <cell r="K190"/>
          <cell r="L190"/>
        </row>
        <row r="191">
          <cell r="B191"/>
        </row>
        <row r="192">
          <cell r="B192"/>
        </row>
        <row r="193">
          <cell r="B193"/>
        </row>
        <row r="194">
          <cell r="B194"/>
        </row>
        <row r="195">
          <cell r="B195"/>
        </row>
        <row r="196">
          <cell r="B196"/>
        </row>
        <row r="202">
          <cell r="B202"/>
        </row>
        <row r="203">
          <cell r="B203"/>
          <cell r="D203"/>
          <cell r="E203"/>
          <cell r="F203"/>
          <cell r="G203"/>
          <cell r="H203"/>
          <cell r="I203"/>
          <cell r="J203">
            <v>1</v>
          </cell>
          <cell r="K203">
            <v>29</v>
          </cell>
          <cell r="L203"/>
        </row>
        <row r="204">
          <cell r="B204"/>
        </row>
        <row r="205">
          <cell r="B205"/>
        </row>
        <row r="206">
          <cell r="B206"/>
        </row>
        <row r="207">
          <cell r="B207"/>
        </row>
        <row r="208">
          <cell r="B208"/>
        </row>
        <row r="209">
          <cell r="B209"/>
        </row>
        <row r="213">
          <cell r="B213" t="str">
            <v>W powyższych tabelach nie uwzględniono kosztów delegacji w kwocie 27363,92 zł.
W ramach kosztów funkcjonowania wliczono koszty delegacji krajowych, zagranicznych, szkoleń, kursów językowych, wynagrodzeń osobowych, bezosobowych, tłumaczeń, materiałów, usług teleinformatycznyc,h eksploatacyjnych przypadających na pracowników zaangażowanych w realizację zadań w ramach KSOW.</v>
          </cell>
        </row>
        <row r="214">
          <cell r="B214"/>
        </row>
        <row r="215">
          <cell r="B215"/>
        </row>
        <row r="216">
          <cell r="B216"/>
        </row>
        <row r="217">
          <cell r="B217"/>
        </row>
        <row r="218">
          <cell r="B218"/>
        </row>
        <row r="219">
          <cell r="B219"/>
        </row>
      </sheetData>
      <sheetData sheetId="11"/>
      <sheetData sheetId="12"/>
      <sheetData sheetId="13">
        <row r="17">
          <cell r="A17" t="str">
            <v>Obszar tematyczny: Promocja zrównoważonego rozwoju obszarów wiejskich (operacja: Organizacja XL oraz XLI Ogólnopolskiego Konkursu Jakości Prac Scaleniowych promującego doświadczenia i najlepsze stosowane praktyki)  Spotkanie dotyczące doświadczeń europejskich we wdrażaniu podejścia Leader i RLKS w dniu 09.06.2016 r. dwa wydarzenia - "Transfer wiedzy i działalność informacyjna" (spotkanie z nauczycielami szkół rolniczych MRiRW oraz spotkanie podczas Sierpeckich Dni Rolnika w Studzieńcu).
Spotkanie podczas Sierpeckich Dni Rolnika w Studzieńcu miało charakter regionalny.
Spotkanie z nauczycielami ze szkół prowadzonych przez MRiRW miało charakter ogólnopolski. 6 wydarzeń:
1) Konferencja dla dyrektorów szkół rolniczych prowadzonych przez MRiRW oraz dyrektora KCER dot. PROW 2014-2020;
2) Olimpiady Wierdzy i Umiejętności dla uczniów szkół ponadgimnazjalnych. (2 olimpiady: Olimpiada Wiedzy o Żźywieniu i Żywności i Olimpiada Wiedzy i Umiętności Rolniczych)
3) projekt o zasięgu międzynarodowym - VIII Miedzynarodowe Targi Turytyki Wiejskiej i Agroturytyki AGROTRAVEL (8-10 kwietnia 2016 r.), w tym Międzynarodowy panel dyskusyjny w ramach Forum Turystyki Wiejskiej i Agroturystyki pt.: Miejsce turystyki wiejskiej w nowoczesnej gospodarce. (zakres tematyczny mieszany)
4) Wizyta studyjna AGROTRIP (priorytet 6 i 8 - Promowanie włączenia społecznego, zmniejszenia ubóstwa oraz rozwoju gospodarczego na obszarach wiejskich
Promowanie efektywnego gospodarowania zasobami i wspieranie przechodzenia w sektorach rolnym, spożywczym i leśnym na gospodarkę niskoemisyjną i odporną na zmianę klimatu.)
5) Stoisko "Odpoczywaj na wsi" (priorytet 6 i 8 - jak wyżej) 1. Konkurs "Sposób na sukces" 2. Konkurs na najlepsze wydawnictwo ODR cztery spotkania łącznie, w tym: (1)  jedno spotkanie dla działania  organizacja spotkań informacyjnych dla kadry kierowniczej instytutów naukowo-badawczych podległych Ministrowi Rolnictwa i Rozwoju Wsi ; (2) trzy spotkania dla działania -Organizacja cyklu wizyt doradców rolniczych w instytutach naukowo-badawczych Targi AgroPark w Lublinie, targi Agrotech w Kielcach, Regionalna Wystawa Zwierząt Hodowlanych w Szepietowie, targi Agrotech w Minikowie, Krajowa Wystawa Rolnicza oraz Dożynki Jasnogórskie w Częstochowie, Dni z Doradztwem Rolniczym w Siedlcach, Dożynki Prezydenckie w Spale, targi AGROSHOW w Bednarach. projekt o zasięgu miedzynarodowym - Targi Grune Woche w Berlinie, projekt o zasięgu miedzynarodowym - Targi BioFach w Norymberdze, Targi Natura Food w Łodzi, Finał V edycji ogólnopolskiego konkursu dla szkół gastronomicznych Krajowy Kongres Rolnictwa Rzeczypospolitej Polskiej1) Upowszechnianie wiedzy w zakresie systemów jakości zywności (konferencja i konkurs)
2) Z pola do Garnka - współpraca rolników ekologicznych w skracaniu łańcucha dostaw (szkolenia, wyjazdy studyjne)
3) Zespół ekspertów na rzecz wymogów ochrony środowiska i zmian klimatu (szkolenia)
4) Kierunek rozwój (konferencja)
5) Ekolider.pl LGD dla zrównoważonego rozwoju. Środowisko, klimat, ekoinnowacje w operacjach RLKS (konkurs 1, szkolenie 10, wyjazd studyjny 3)
6) Wyjazd studyjny do Portugalii w celu wymiany wiedzy z zakresu klęsk żywiołowych ze szczególnym uwzględnieniem suszy
7) Międzynarodowe warsztaty nt. ubustwa i wykluczenia na wsi (szkolenie, wyjazd studyjny)
8) Rolniczy Handel Detalicxzny ważnym elementem zrównoważonego rozwoju obszarów wiejskich (4 konferencje)
9) Zrównoważony rozwój regionu w oparciu o certyfikowane produkty tradycyjne (wyjazd studyjny, konferencja)
10) Puls wsi, czyli partycypacja umacnia lokalną synergię wsi (seminarium-3, konferencja-1)
11) Wyjazd studyjny-od bacówki do fabryki, dobre praktyki (wyjazd studyjny)
12) Sieci współpracy w turystyce wiejskiej - stan obecny i nowe wyzwania (konferencja) 
13) Zwiększenie efektywności doradztwa we wspieraniu innowacyjności w rolnictwie (konferencja)
14) Komercjalizacja działalności LGD formą budowy potencjału organizacyjnego (szkolenie)
15) Gospodarstwa opikuńcze - rozwijanie usług społecznych na obszarach wiejskich (szkolenia 16)
16) Przyróćmy Wisłę mieszkańcom obszarów wiejskich (szkolenie -4, wyjazd studyjny -4)
17) WPR po 2020 r.  (konferencje -4)
18) Upowszechnianie dobrych praktyk w farmerskiej produkcji sera (seminaria-13 dla PLW oraz dla doradców rolniczych, producentów, LGD, przedstawicieli organizacji pozarządowych)
1) 2 Jednodniowe konferencje nt. rezultatów realizacji PROW 2014-2020 z uwzględnieniem doświadczeń z perspektywy 2007-2013 oraz punkt informacyjny/doradczy (DROW)
2) "Transfer wiedzy i działalność informacyjna" (2 spotkania Spotkania podczas Sierpeckich Dni Rolnika w Studzieńcu miały charakter regionalny. Spotkania z nauczycielami ze szkół prowadzonych przez Ministra Rolnictwa i Rozwoju Wsi miały charakter krajowy). (SSO)
3) Organizacja konkursów promujących i informujących o PROW 2014-2020 (konkurs Sposób na sukces oraz na najlepsze wydwnictwo ODR) (SAR)
RR
 Targi AgroPark w Lublinie, Międzynarodowe Targi Techniki Rolniczej AGROTECH w Kielcach, Regionalna Wystawa Zwierząt Hodowlanych w Szepietowie, XXVI Krajowa Wystawa Rolnicza oraz Ogólnopolskie Dożynki Jasnogórskie w Częstochowie, Dożynki Prezydenckie w Spale,  XL Międzynarodowe Targi Rolno-Przemysłowe AGRO-TECH połączone z Regionalną Wystawą Zwierząt Hodowlanych w Minikowie, XXIV Regionalna Wystawa Zwierząt Hodowlanych i Dni z Doradztwem Rolniczym w Szepietowie, Międzynarodowa Wystawy Rolniczej AGRO SHOW w Bednarach, XXIX Międzynarodowe Dni z Doradztwem Rolniczym połączone z XIII Regionalną Wystawą Zwierząt Hodowlanych w Siedlcach.
Seminaria/szkolenia/spotkania/konferencje informacyjne nt.  Systemu Chronionych Nazw Pochodzenia, Chronionych Oznaczeń Geograficznych oraz Gwarantowanych Tradycyjnych Specjalności w celu przedstawienia działań wspierających ten sektor w ramach PROW 2014-2020DGZ
1. Obszar tematyczny: Promocja zrównoważonego rozwoju Obszarów Wiejskich  (operacja: XLI Ogólnopolskiego Konkursu Jakości Prac Scaleniowych promujacego doświadczenia i najlepsze stosowane praktyki)
SSO
1) "Olimpiada Wiedzy i Umiejętności Rolniczych" (zakup nagród rzeczowych dla laureatów);
2) "Olimpiada Wiedzy o Żywieniu i Żywności" (zakup nagród rzeczowych dla laureatów);
3)  Cykl konferencji dla dyrektorów szkół rolniczych prowadzonych przez Ministra Rolnictwa i Rozwoju Wsi dot. RPOW 2014-2020 ( 2 konferencje)
4) 8 seminariów pod nazwą: Integracja środowiska turystyki wiejskiej i agroturystyki z przedstawicielami branży turystycznej (priotytet 5 i 6);
5) organizacja stoiska "Odpoczywaj na wsi" na 8 imprezach targowo-plenerowych (priotytet 5 i 6)
6) organizacja stoiska "Odpoczywaj na wsi" na targach ITB w Berlinie  (piorytet 6 z naciskiem na promowanie rozwoju gospodarczego na obszarach wiejskich)
7) Liderki społeczności wiejskiej w procesach rozwoju lokalnego - (40 jednodniowych szkoleń)
SAR
1) 1 seminarium dla kadry zarządzajacej instytutów badawczych i jednostek doradztwa rolniczego, 
2) 2 wizyty doradców rolniczych w instytutach naukowo-badawczych, 
3) 2 spotkania informacyjne dla kadry zarządzajacej jednostkami doradztwa rolniczego
RR
4 wydarzenia: 
- Targi Grune Woche w Berlinie;
- Targi BioFch w Norymberdze;
-Targi Natura Food w Łodzi;
- Finał VI edycji ogólnopolskiego konkursu dla szkół gastronomicznych
Obszar tematyczny : Seminarium podsumowujące ZXL Ogólnopolski Konkurs Jakości Prac Scaleniowych</v>
          </cell>
          <cell r="B17"/>
        </row>
        <row r="18">
          <cell r="A18"/>
          <cell r="B18"/>
        </row>
        <row r="19">
          <cell r="A19"/>
          <cell r="B19"/>
        </row>
        <row r="20">
          <cell r="A20"/>
          <cell r="B20"/>
        </row>
        <row r="21">
          <cell r="A21"/>
          <cell r="B21"/>
        </row>
        <row r="22">
          <cell r="A22"/>
          <cell r="B22"/>
        </row>
        <row r="23">
          <cell r="A23"/>
          <cell r="B23"/>
        </row>
        <row r="24">
          <cell r="A24"/>
          <cell r="B24"/>
        </row>
        <row r="28">
          <cell r="A28" t="str">
            <v>Obszar tematyczny: Promocja zrównoważonego rozwoju obszarów wiejskich (operacja: Organizacja XL oraz XLI Ogólnopolskiego Konkursu Jakości Prac Scaleniowych promującego doświadczenia i najlepsze stosowane praktyki)  - 78 osób  Spotkanie dotyczące doświadczeń europejskich we wdrażaniu podejścia Leader i RLKS w dniu 09.06.2016 r. - 40 osób dwa wydarzenia - "Transfer wiedzy i działalność informacyjna" (spotkanie z nauczycielami szkół rolniczych MRiRW oraz spotkanie podczas Sierpeckich Dni Rolnika w Studzieńcu).
Spotkanie podczas Sierpeckich Dni Rolnika w Studzieńcu miało charakter regionalny- 200 osób.
Spotkanie z nauczycielami ze szkół prowadzonych przez MRiRW miało charakter ogólnopolski - 100 osób. 5 wydarzeń:
1) Konferencja dla dyrektorów szkół rolniczych prowadzonych przez MRiRW oraz dyrektora KCER dot. PROW 2014-2020 - 68 osób;
2) Olimpiady Wierdzy i Umiejętności dla uczniów szkół ponadgimnazjalnych. (2 olimpiady: Olimpiada Wiedzy o Żźywieniu i Żywności i Olimpiada Wiedzy i Umiętności Rolniczych) - 65 osób
3) projekt o zasięgu międzynarodowym - VIII Miedzynarodowe Targi Turytyki Wiejskiej i Agroturytyki AGROTRAVEL (8-10 kwietnia 2016 r.), w tym Międzynarodowy panel dyskusyjny w ramach Forum Turystyki Wiejskiej i Agroturystyki pt.: Miejsce turystyki wiejskiej w nowoczesnej gospodarce. (priorytet 6) - 20000 uczestników
4) Wizyta studyjna AGROTRIP (priorytet 6) - 21 osób
5) Stoisko "Odpoczywaj na wsi" (priorytet 6 i 8 - jak wyżej) - 5000 odwiedzających 1. Konkurs "Sposób na sukces" 2. Konkurs na najlepsze wydawnictwo ODR (razem 166 osób) działanie : (1) organizacja spotkań informacyjnych dla kadry kierowniczej instytutów naukowo-badawczych podległych Ministrowi Rolnictwa i Rozwoju Wsi - liczba uczestników 90 osób ; (2) Organizacja cyklu wizyt doradców rolniczych w instytutach naukowo-badawczych łaczna liczba uczestników 177 Dane ze stron targowych lub informacja od organizatora targów, liczba oób odiwedzjących targi: targi AgroPark w Lublinie 22.104;  Targi Agrotech w Kielcach 64.330;  Wystawa Zwierząt Hodowlanych w Szepietowie 100.000;  targi Agrotech w Minikowie 35.000; Krajowa Wystawa Rolnicza oraz Dożynki Jasnogórskie w Częstochowie 80.000;  Dni z Doradztwem Rolniczym w Siedlcach 100.000; Dożynki Prezydenckie 15.000; targi AGROSHOW  w Bednarach 140.000. Dane ze stron targowych, liczba osób odwiedzających targi: projekt o zasięgu miedzynarodowym- Grune Woche w Berlinie  380.000;  projekt o zasięgu miedzynarodowym- BioFach 48.533;  Natura Food 12.000; liczba uczestników finału 12052 edycji ogólnoplskiego konkursu dla szkół gastronomicznych 52 osoby. Krajowy Kongres Rolnictwa Rzeczypospolitej Polskiej - 73 osoby1) Upowszechnianie wiedzy w zakresie systemów jakości zywności (konferencja i konkurs)
2) Z pola do Garnka - współpraca rolników ekologicznych w skracaniu łańcucha dostaw (szkolenia, wyjazdy studyjne)
3) Zespół ekspertów na rzecz wymogów ochrony środowiska i zmian klimatu (szkolenia)
4) Kierunek rozwój (konferencja)
5) Ekolider.pl LGD dla zrównoważonego rozwoju. Środowisko, klimat, ekoinnowacje w operacjach RLKS (konkurs 1, szkolenie 10, wyjazd studyjny 3)
6) Wyjazd studyjny do Portugalii w celu wymiany wiedzy z zakresu klęsk żywiołowych ze szczególnym uwzględnieniem suszy
7) Międzynarodowe warsztaty nt. ubustwa i wykluczenia na wsi (szkolenie, wyjazd studyjny)
8) Rolniczy Handel Detalicxzny ważnym elementem zrównoważonego rozwoju obszarów wiejskich (4 konferencje)
9) Zrównoważony rozwój regionu w oparciu o certyfikowane produkty tradycyjne (wyjazd studyjny, konferencja)
10) Puls wsi, czyli partycypacja umacnia lokalną synergię wsi (seminarium-3, konferencja-1)
11) Wyjazd studyjny-od bacówki do fabryki, dobre praktyki (wyjazd studyjny)
12) Sieci współpracy w turystyce wiejskiej - stan obecny i nowe wyzwania (konferencja) 
13) Zwiększenie efektywności doradztwa we wspieraniu innowacyjności w rolnictwie (konferencja)
14) Komercjalizacja działalności LGD formą budowy potencjału organizacyjnego (szkolenie)
15) Gospodarstwa opikuńcze - rozwijanie usług społecznych na obszarach wiejskich (szkolenia 16)
16) Przyróćmy Wisłę mieszkańcom obszarów wiejskich (szkolenie -4, wyjazd studyjny -4)
17) WPR po 2020 r.  (konferencje -4)
18) Upowszechnianie dobrych praktyk w farmerskiej produkcji sera (seminaria-13 dla PLW oraz dla doradców rolniczych, producentów, LGD, przedstawicieli organizacji pozarządowych)
1) 2 Jednodniowe konferencje nt. rezultatów realizacji PROW 2014-2020 z uwzględnieniem doświadczeń z perspektywy 2007-2013 oraz punkt informacyjny/doradczy (DROW)
2) "Transfer wiedzy i działalność informacyjna" (2 spotkania Spotkania podczas Sierpeckich Dni Rolnika w Studzieńcu miały charakter regionalny. Spotkania z nauczycielami ze szkół prowadzonych przez Ministra Rolnictwa i Rozwoju Wsi miały charakter krajowy). (SSO)
3) Organizacja konkursów promujących i informujących o PROW 2014-2020 (konkurs Sposób na sukces oraz na najlepsze wydwnictwo ODR) (SAR)
RR
Dane ze stron targowych lub informacja od organizatora targów, liczba osób odwiedzjących targi:
1) Targi AgroPark w Lublinie: 27 102
2) Międzynarodowe Targi Techniki Rolniczej AGROTECH w Kielcach: 71 250
3) Regionalna Wystawa Zwierząt Hodowlanych w Szepietowie 100 000
4) XXVI Krajowa Wystawa Rolnicza oraz Ogólnopolskie Dożynki Jasnogórskie w Częstochowie: 80 000
5) Dożynki Prezydenckie w Spale: 3 800
6) XL Międzynarodowe Targi Rolno-Przemysłowye AGRO-TECH połączone z Regionalną Wystawą Zwierząt Hodowlanych w Minikowie: 30 000
7) XXIV Regionalna Wystawa Zwierząt Hodowlanych i Dni z Doradztwem Rolniczym w Szepietowie: 100 000
8) Międzynarodowa Wystawa Rolnicza AGRO SHOW w Bendarach: 112 000
9) XXIX Międzynarodowe Dni z Doradztwem Rolniczym połączone z XIII Regionalną Wystawą Zwierząt Hodowlanych w Siedlcach: 80 000
10) Uczestnicy seminariów/szkoleń/spotkań/konferencji informacyjnych nt.  Systemu Chronionych Nazw Pochodzenia, Chronionych Oznaczeń Geograficznych oraz Gwarantowanych Tradycyjnych Specjalności w celu przedstawienia działań wspierających ten sektor w ramach PROW 2014-2020 - dane na podstawie list obecności 550 os.DROW
1.  2 cykle dwudniowych warsztatów, z których każdy składał się z 8 warsztatów;
2. 1 cykl jednodniowych warsztatów składający się z 8 spotkań;
3. 2 jednodniowe szkolenia;
4. umożliwienie udziału przedstawicieli LGD w 4 zagranicznych spotkaniach mających na celu skojarzenie potencjalnych partnerów projektów współpracy międzynarodowej
DGZ
1. Obszar tematyczny: Promocja zrównoważonego rozwoju Obszarów Wiejskich  (operacja: XLI Ogólnopolskiego Konkursu Jakości Prac Scaleniowych promujacego doświadczenia i najlepsze stosowane praktyki)
SSO
1) "Olimpiada Wiedzy i Umiejętności Rolniczych" (zakup nagród rzeczowych dla laureatów);
2) "Olimpiada Wiedzy o Żywieniu i Żywności" (zakup nagród rzeczowych dla laureatów);
3)  Cykl konferencji dla dyrektorów szkół rolniczych prowadzonych przez Ministra Rolnictwa i Rozwoju Wsi dot. RPOW 2014-2020 ( 2 konferencje)
4) 8 seminariów pod nazwą: Integracja środowiska turystyki wiejskiej i agroturystyki z przedstawicielami branży turystycznej (priotytet 5 i 6);
5) organizacja stoiska "Odpoczywaj na wsi" na 8 imprezach targowo-plenerowych (priotytet 5 i 6)
6) organizacja stoiska "Odpoczywaj na wsi" na targach ITB w Berlinie  (piorytet 6 z naciskiem na promowanie rozwoju gospodarczego na obszarach wiejskich)
7) Liderki społeczności wiejskiej w procesach rozwoju lokalnego - (40 jednodniowych szkoleń)
SAR
1) 1 seminarium dla kadry zarządzajacej instytutów badawczych i jednostek doradztwa rolniczego, 2 wizyty doradców rolniczych w instytutach naukowo-badawczych, 2 spotkania informacyjne dla kadry zarządzajacej jednostkami doradztwa rolniczego
RR
Dane ze stron targowych, liczba odwiedzających tragi:  
- Grune Woche w Berlinie: 400000; 
- BioFach 51453;  
- Natura Food 12000.
- Liczba uczestników finału VI edycji ogólnoplskiego konkursu dla szkół gastronomicznych - 50 osób.Obszar tematyczny : Seminarium podsumowujące ZXL Ogólnopolski Konkurs Jakości Prac Scaleniowych</v>
          </cell>
          <cell r="B28"/>
        </row>
        <row r="29">
          <cell r="A29"/>
          <cell r="B29"/>
        </row>
        <row r="30">
          <cell r="A30"/>
          <cell r="B30"/>
        </row>
        <row r="31">
          <cell r="A31"/>
          <cell r="B31"/>
        </row>
        <row r="32">
          <cell r="A32"/>
          <cell r="B32"/>
        </row>
        <row r="33">
          <cell r="A33"/>
          <cell r="B33"/>
        </row>
        <row r="34">
          <cell r="A34"/>
          <cell r="B34"/>
        </row>
        <row r="35">
          <cell r="A35"/>
          <cell r="B35"/>
        </row>
        <row r="40">
          <cell r="A40" t="str">
            <v xml:space="preserve">       Upowszechnianie dobrych praktyk w farmerskiej produkcji sera (strona internetowa)</v>
          </cell>
          <cell r="B40"/>
        </row>
        <row r="41">
          <cell r="A41"/>
          <cell r="B41"/>
        </row>
        <row r="42">
          <cell r="A42"/>
          <cell r="B42"/>
        </row>
        <row r="43">
          <cell r="A43"/>
          <cell r="B43"/>
        </row>
        <row r="44">
          <cell r="A44"/>
          <cell r="B44"/>
        </row>
        <row r="45">
          <cell r="A45"/>
          <cell r="B45"/>
        </row>
        <row r="46">
          <cell r="A46"/>
          <cell r="B46"/>
        </row>
        <row r="47">
          <cell r="A47"/>
          <cell r="B47"/>
        </row>
        <row r="62">
          <cell r="A62" t="str">
            <v xml:space="preserve"> 1.Kalendarze na 2017 r. promujace działania obszarowe PROW 2014-2020;                                                                                                                                                                                                                                                                                                                            2. Drukowane materiały informacyjno-promocyjne dla działań obszarowych PROW 2014-2020.   600 egz. kalendarzy na 2017 r., power banki 150 szt., wiatromierze 33 szt., deszczomierze 33 szt., testery pH 33 szt. Informator o instytutach  badawczych nadzorowanych przez Ministra Rolnictwa i Rozwoju Wsi- liczba egzemplarzy 1000 sztuk Wydanie publikacji informacyjnej  z zakresu systemu Chronionych Nazw Pochodzenia, Chronionych Oznaczeń Geograficzych, Gwarantowanych Tradycyjnych Specjalności- roztrzygnięcie konkursu na przepis kulinarny ( 5.000 egz.);  zamieszczenie w Kalendarzu Rolników na 2017 rok materiału informacyjno-promocyjnego dot. PROW 2014-2020 (1 artykuł 1 tj. 18 stron w nakładzie 250.000 ); wykonanie materiałów promocyjnych PROW 2014-2020 ( 18.200 sztuk). 1) Zespół ekspertów na rzecz wymogów ochrony środowiska i zmian klimatu (4 rodzaje publikacji)
2) Rola zasobów lokalnych w rozwoju wsi - dwie publikacje naukowe - (2 tomy po 250 egz. każdy - studia obszarów wiejskich - przypadki wykorzystania zasobów lokalnych w rozwoju obszarów wiejskich - 2 tomy)
3) Puls wsi, czyli partycypacja umacnia lokalną synergię wsi (publikacja)
4) Sieci współpracy w turystyce wiejskiej - stan obecny i nowe wyzwania (publikacja)
5) Zwiększenie efektywności doradztwa we wspieraniu innowacyjności w rolnictwie (publikacje - 1 ekspertyza)
6) Komercjalizacja działalności LGD formą budowy potencjału organizacyjnego (publikacja)
7) Działania informacyjno-promocyjne dot. zawodu rzeźnika (publikacja)
8) Gospodarstwa opikuńcze - rozwijanie usług społecznych na obszarach wiejskich (publikacja na CD)
9)Przyróćmy Wisłę mieszkańcom obszarów wiejskich (publikacja)
10)WPR po 2020 r.  (publikacja)
11) Racjonalna i zasobooszczędna gospodarka zasobami w rolnictwie i na obszarach wiejskich (publikacja -2)
12) Upowszechnianie dobrych praktyk w farmerskiej produkcji sera (poradnik)
DPB
1.Kalendarze na 2018 r. promujace działania obszarowe PROW 2014-2020 (2 000 egzemplarzy)                                                                                                                                                                                                                                                                                                                       2. Drukowane materiały informacyjno-promocyjne dla działań obszarowych PROW 2014-2020 (44 500 egzemplarzy)
SSO
Zakup materiałów informacyjno-promocyjnych w zakresie PROW 2014-2020
SAR
Zakup gadżetów promocyjnych
RR
 Zamieszczenie w „Kalendarzu Rolników” na 2017 i 2018 rok materiału informacyjno-promocyjnego MRiRW dotyczącego PROW 2014-2020.
DROW
Zakup gadżetów promocyjnych</v>
          </cell>
          <cell r="B62"/>
        </row>
        <row r="63">
          <cell r="A63"/>
          <cell r="B63"/>
        </row>
        <row r="64">
          <cell r="A64"/>
          <cell r="B64"/>
        </row>
        <row r="65">
          <cell r="A65"/>
          <cell r="B65"/>
        </row>
        <row r="66">
          <cell r="A66"/>
          <cell r="B66"/>
        </row>
        <row r="67">
          <cell r="A67"/>
          <cell r="B67"/>
        </row>
        <row r="68">
          <cell r="A68"/>
          <cell r="B68"/>
        </row>
        <row r="69">
          <cell r="A69"/>
          <cell r="B69"/>
        </row>
        <row r="72">
          <cell r="A72" t="str">
            <v xml:space="preserve">     Kampania informacyjno-edukacyjna dotycząca PROW 2014-2020 na antenie Telwizji Polskiej S.A - Program 1 w audycj pt. "Magazyn Rolniczy" (6); Kampania informacyjno-edukacyjna dotycząca PROW 2014-2020 na antenie Telwizji Polskiej S.A - Program 1 w audycj pt. "Dzień Dobry w Sobotę";  (13);Kampania informacyjno-edukacyjna dotycząca PROW 2014-2020 na antenie Telwizji Polskiej S.A - Program 1 w audycj pt. Wielki Test o Żywności. Polska Smakuje" (1) Zorganizowanie i przeprowadzenie V edycji Konkursu dla szkół gastronomicznych na przepisy wykorzystujące produkty uczestniczące w systemie Chronionych Nazw Pochodzenia, Chronionych Oznaczeń Geograficznych oraz Gwarantowanych Tradycyjnych Specjalności;
produkcja i emisja audycji rolniczej o charakterze informacyjno-publicystycznym pod nazwą "Forum Rolnika" na antenie rozgłośni regionalnej: Polskiego Radia-Regionalnej Rozgłośni w Olsztynie Radio Olsztyn S.A. (16),
emisja audycji rolniczej o charakterze informacyjno-publicystycznym pod nazwą "Forum Rolnika" na antenach rozgłośni regionalnych: Polskiego Radia-Regionalnej Rozgłośni w Lublinie „Radio Lublin” S.A., Polskiego Radia-Regionalnej Rozgłośni w Białymstoku „Radio Białystok” S.A., Polskiego Radia-Regionalnej Rozgłośni w Koszalinie „Radio Koszalin” S.A., Polskiego Radia-Regionalnej Rozgłośni w Poznaniu „Radio Merkury” S.A., Polskiego Radia-Regionalnej Rozgłośni w Bydgoszczy "Polskie Radio Pomorza i Kujaw" S.A., Polskiego Radia-Regionalnej Rozgłośni w Warszawie „Radio Dla Ciebie” S.A., "Polskiego Radia Rzeszów"- Rozgłośni Regionalnej w Rzeszowie S.A.,  Polskiego Radia-Regionalnej Rozgłośni w Szczecinie „Polskie Radio Szczecin” S.A., Polskiego Radia-Regionalnej Rozgłośni w Zielonej Górze „Radio Zachód” S.A., Polskiego Radia-Regionalnej Rozgłośni w Kielcach „Radio Kielce” S.A.(132),
 Polskiego Radia-Regionalnej Rozgłośni w Łodzi „Radio Łódź” S.A.; Produkcja i emisja 3-minutowych audycji AgroFakty, na antenie Programu Pierwszego Polskiego Radia S.A. (14) 1) Rolniczy Handel Detalicxzny ważnym elementem zrównoważonego rozwoju obszarów wiejskich (audycje)
2) Działania informacyjno-promocyjne dot. zawodu rzeźnika (produkcja i emisja filmu)
3)Przyróćmy Wisłę mieszkańcom obszarów wiejskich (film -4)
RR
1) Zorganizowanie i przeprowadzenie VI edycji Konkursu dla szkół gastronomicznych na przepisy wykorzystujące produkty uczestniczące w systemie Chronionych Nazw Pochodzenia, Chronionych Oznaczeń Geograficznych oraz Gwarantowanych Tradycyjnych Specjalności;
2) Produkcja (33) i emisja radiowa audycji rolniczej o charakterze informacyjno-publicystycznym dotyczących PROW 2014-2020  pod nazwą „Forum Rolnika” na antenach regionalnych rozgłośni radiowych: Polskiego Radia - Regionalnej Rozgłośni w Olsztynie „Radio Olsztyn” S.A., Polskiego Radia-Regionalnej Rozgłośni w Białymstoku „Radio Białystok” S.A., "Polskiego Radia Rzeszów" - Rozgłośni Regionalnej w Rzeszowie S.A., Polskiego Radia-Regionalnej Rozgłośni w Kielcach „Radio Kielce” S.A., Polskiego Radia-Regionalnej Rozgłośni w Lublinie „Radio Lublin” S.A. (165)  
3) Kampania informacyjno-edukacyjna polegająca na umieszczeniu wątków na temat PROW na lata 2007-2013 oraz PROW 2014-2020 w audycjach telewizyjnych pt. : "To się opłaca" (18)
</v>
          </cell>
          <cell r="B72"/>
        </row>
        <row r="73">
          <cell r="A73"/>
          <cell r="B73"/>
        </row>
        <row r="74">
          <cell r="A74"/>
          <cell r="B74"/>
        </row>
        <row r="75">
          <cell r="A75"/>
          <cell r="B75"/>
        </row>
        <row r="76">
          <cell r="A76"/>
          <cell r="B76"/>
        </row>
        <row r="77">
          <cell r="A77"/>
          <cell r="B77"/>
        </row>
        <row r="78">
          <cell r="A78"/>
          <cell r="B78"/>
        </row>
        <row r="79">
          <cell r="A79"/>
          <cell r="B79"/>
        </row>
        <row r="85">
          <cell r="A85" t="str">
            <v xml:space="preserve">      </v>
          </cell>
          <cell r="B85"/>
        </row>
        <row r="86">
          <cell r="A86"/>
          <cell r="B86"/>
        </row>
        <row r="87">
          <cell r="A87"/>
          <cell r="B87"/>
        </row>
        <row r="88">
          <cell r="A88"/>
          <cell r="B88"/>
        </row>
        <row r="89">
          <cell r="A89"/>
          <cell r="B89"/>
        </row>
        <row r="90">
          <cell r="A90"/>
          <cell r="B90"/>
        </row>
        <row r="91">
          <cell r="A91"/>
          <cell r="B91"/>
        </row>
        <row r="92">
          <cell r="A92"/>
          <cell r="B92"/>
        </row>
        <row r="98">
          <cell r="A98" t="str">
            <v xml:space="preserve">      Obszar tematyczny: Promocja zrównoważonego rozwoju Obszarów Wiejskich  (operacja: XLI Ogólnopolskiego Konkursu Jakości Prac Scaleniowych promujacego doświadczenia i najlepsze stosowane praktyki)Obszar tematyczny : Seminarium podsumowujące ZXL Ogólnopolski Konkurs Jakości Prac Scaleniowych</v>
          </cell>
          <cell r="B98"/>
        </row>
        <row r="99">
          <cell r="A99"/>
          <cell r="B99"/>
        </row>
        <row r="100">
          <cell r="A100"/>
          <cell r="B100"/>
        </row>
        <row r="101">
          <cell r="A101"/>
          <cell r="B101"/>
        </row>
        <row r="102">
          <cell r="A102"/>
          <cell r="B102"/>
        </row>
        <row r="103">
          <cell r="A103"/>
          <cell r="B103"/>
        </row>
        <row r="104">
          <cell r="A104"/>
          <cell r="B104"/>
        </row>
        <row r="105">
          <cell r="A105"/>
          <cell r="B105"/>
        </row>
        <row r="109">
          <cell r="A109" t="str">
            <v xml:space="preserve">      </v>
          </cell>
          <cell r="B109"/>
        </row>
        <row r="110">
          <cell r="A110"/>
          <cell r="B110"/>
        </row>
        <row r="111">
          <cell r="A111"/>
          <cell r="B111"/>
        </row>
        <row r="112">
          <cell r="A112"/>
          <cell r="B112"/>
        </row>
        <row r="113">
          <cell r="A113"/>
          <cell r="B113"/>
        </row>
        <row r="114">
          <cell r="A114"/>
          <cell r="B114"/>
        </row>
        <row r="115">
          <cell r="A115"/>
          <cell r="B115"/>
        </row>
        <row r="116">
          <cell r="A116"/>
          <cell r="B116"/>
        </row>
        <row r="120">
          <cell r="A120" t="str">
            <v xml:space="preserve">      </v>
          </cell>
          <cell r="B120"/>
        </row>
        <row r="121">
          <cell r="A121"/>
          <cell r="B121"/>
        </row>
        <row r="122">
          <cell r="A122"/>
          <cell r="B122"/>
        </row>
        <row r="123">
          <cell r="A123"/>
          <cell r="B123"/>
        </row>
        <row r="124">
          <cell r="A124"/>
          <cell r="B124"/>
        </row>
        <row r="125">
          <cell r="A125"/>
          <cell r="B125"/>
        </row>
        <row r="126">
          <cell r="A126"/>
          <cell r="B126"/>
        </row>
        <row r="127">
          <cell r="A127"/>
          <cell r="B127"/>
        </row>
        <row r="144">
          <cell r="A144" t="str">
            <v xml:space="preserve">    Wyjazd 1 osoby z SAR do Brukseli w dn. 30.11-01.12.2016 r. w związku z udziałem w posiedzeniu Zgromadzenia Sieci Obszarów Wiejskich  Udział 1 osoby z BPT w V i VI posiedzeniu Grupy Sterującej ds. ESROW w Brukseli oraz w posiedzeniu Zgromadzenia ESOWSpotkanie w dniach 24-26 kwietnia 2017 roku Sieci Morza Bałtyckiego EFRROW w Helsinkach</v>
          </cell>
          <cell r="B144"/>
        </row>
        <row r="145">
          <cell r="A145"/>
          <cell r="B145"/>
        </row>
        <row r="146">
          <cell r="A146"/>
          <cell r="B146"/>
        </row>
        <row r="147">
          <cell r="A147"/>
          <cell r="B147"/>
        </row>
        <row r="148">
          <cell r="A148"/>
          <cell r="B148"/>
        </row>
        <row r="149">
          <cell r="A149"/>
          <cell r="B149"/>
        </row>
        <row r="150">
          <cell r="A150"/>
          <cell r="B150"/>
        </row>
        <row r="151">
          <cell r="A151"/>
          <cell r="B151"/>
        </row>
        <row r="155">
          <cell r="A155" t="str">
            <v xml:space="preserve">      </v>
          </cell>
          <cell r="B155"/>
        </row>
        <row r="156">
          <cell r="A156"/>
          <cell r="B156"/>
        </row>
        <row r="157">
          <cell r="A157"/>
          <cell r="B157"/>
        </row>
        <row r="158">
          <cell r="A158"/>
          <cell r="B158"/>
        </row>
        <row r="159">
          <cell r="A159"/>
          <cell r="B159"/>
        </row>
        <row r="160">
          <cell r="A160"/>
          <cell r="B160"/>
        </row>
        <row r="161">
          <cell r="A161"/>
          <cell r="B161"/>
        </row>
        <row r="162">
          <cell r="A162"/>
          <cell r="B162"/>
        </row>
        <row r="165">
          <cell r="A165" t="str">
            <v xml:space="preserve">      </v>
          </cell>
          <cell r="B165"/>
        </row>
        <row r="166">
          <cell r="A166"/>
          <cell r="B166"/>
        </row>
        <row r="167">
          <cell r="A167"/>
          <cell r="B167"/>
        </row>
        <row r="168">
          <cell r="A168"/>
          <cell r="B168"/>
        </row>
        <row r="169">
          <cell r="A169"/>
          <cell r="B169"/>
        </row>
        <row r="170">
          <cell r="A170"/>
          <cell r="B170"/>
        </row>
        <row r="171">
          <cell r="A171"/>
          <cell r="B171"/>
        </row>
        <row r="172">
          <cell r="A172"/>
          <cell r="B172"/>
        </row>
        <row r="178">
          <cell r="A178" t="str">
            <v xml:space="preserve"> 1. Szkolenie związane ze zmianami w przepisach dotyczących działania Program rolnośrodowiskowy PROW 2007-2013 oraz działań: Działanie rolno - środowiskowo - klimatyczne  i Rolnictwo ekologiczne PROW 2014-2020, (24.03.)                                                                                                                                                                                                                                                                                                                                                                                                                                                                                                              2.Szkolenia dla hodowców zwierząt Pakietu 7. Działania rolno-środowiskowo-klimatycznego w ramach PROW 2014-2020. (8-9.11;15-16.11;17-18.11;19-20.11;22-23.11)                  1. Dobre Praktyki w  ramach Działania rolno-środowiskowo-klimatycznego i działania Rolnictwo Ekologiczne;                                                                                                                                                                                                                                            2. Seminarium dotyczącego realizacji działania „Zalesianie i tworzenie terenów zalesionych” objętego Programem Rozwoju Obszarów Wiejskich na lata 2014-2020, w terminie  13-14 października 2016 roku. 7. Udział w warsztatach pod hasłem „Środki rolno-środowiskowo-klimatyczne: trudności w kontrolowaniu i weryfikowaniu” (Bruksela 6-7.12); 1. Udział w spotkaniu dwustronnym RD2/2016/006/PL - dot. postępowanie audytowe (działanie 10, 11 i 13 PROW 2014-2020) - (Bruksela 12-13.12)                                                                                                                                                                                                                                                                                                                              2. Udział  w posiedzeniu Grupy ekspertów ds. płatności bezpośrednich oraz Rozwoju Obszarów Wiejskich (Bruksela 18.01);                                                                             
3. Udział w spotkaniu dyrektorów ds. Rozwoju Obszarów Wiejskich (Haarlem, Holandia, 20-22.04);                                                                                                                                                                                                                                                                   4. Udział w Seminarium pt. „European seminar on agri-environment-climate measures (AECM)” (Paryż, Francja, 8-9.09);                                                                  
5. Udział w konferencji „Przyroda Karpat – stan, zagrożenia i perspektywy ochrony” ( Kraków 14-15.09);                                                                                                                                                                                                                                                                                                                                                                                                                                                                                                                                     
6.  Irlandia na Europejskiej Konferencji dotyczącej rozwoju obszarów wiejskich, która odbyła się w dniach 5-6 września 2016 roku, w Cork (Irlandia) (wyjazd 5.09.2016  powrót był 7.09.2016);                                                                                                                                                                                                                                                                                                                                                                                                                                                                                                                                                                                                                                                                                                                                                                                                                                                                                                                                                                                             7. Udział w posiedzeniu do spraw Rozwoju Obszarów Wiejskich (17 luty Bruksela);                                                                                                                                                                                                                                                                                                     8. Grupa ekspertów ds. monitorowania i ewaluacji WPR (17-18 listopada Bruksela);                                                                                                                                                                                                                                                                                                               9. Warsztaty zorganizowane przez European Evaluation Helpdesk-poświęcone ocenie programów rozwoju obszarów wiejskich pod kątem ich wpływu na zachowanie/ rozwoju gospodarowania sprzyjającego zachowaniu bioróżnorodności i krajobrazu (BONN);                                                                                                                                                                                                                                                                                                                                                                                                10. Spotkanie Agri Environment Correspondents (Bruksela 26-27.04).   1. Szkolenie uzupełniające dla doradców rolnośrodowiskowych i eskpertów przyrodniczych 2. Spotkanie informacyjne dla kadry zarządzającej jednostkami doradztwa rolniczego (nie było finansowane z PK) * Szkolenia z zakresu pierwszej pomocy skierowane były do właścicieli zagród edukacyjnych, członków ich rodzin oraz osób zainteresowanych zarejestrowaniem swojej zagrody edukacyjnej w Ogólnopolskiej Sieci Zagród Edukacyjnych. Odbyły się w 11 następujących województwach: dolnośląskim, lubelskim, lubuskim, łódzkim, mazowieckim, opolskim, podkarpackim, śląskim, świętokrzyskim, wielkopolskim oraz zachodniopomorskim. Szkolenia odbyły się w siedzibach wojewódzkich ośrodków doradztwa rolniczego, były to szkolenia jednodniowe  DPB
1. Szkolenie dotycząse w drażania Działania rolno-środowiskowoo-klimatycznego i Działania Rolnictwo ekologiczne w ramach PROW 2014-2020 od 2017 r. (13.04)                                                                                                                                                                                                                                                                                                                     2. Zasoby genetyczne w rolnictwie (15-16.11) 
SAR
Szkolenia dla doradców świadczących doradztwo w ramach PROW 2014-2020 ( 137 szkoleń stacjonarnych i 3 szkolenie e-learningowe, wykzane w poz."Inne". Liczba dni szkoleniowych nie dotyczy poz. "Inne")
DROW
1.  2 cykle dwudniowych warsztatów, z których każdy składał się z 8 warsztatów;
2. 1 cykl jednodniowych warsztatów składający się z 8 spotkań;
3. 2 jednodniowe szkolenia;
SAR
Zorganizowano: A- Szkolenia z zakresu pierwszej pomocy skierowane były do właścicieli zagród edukacyjnych, członków ich rodzin oraz osób zainteresowanych zarejestrowaniem swojej zagrody edukacyjnej w Ogólnopolskiej Sieci Zagród Edukacyjnych. Odbyły się w 5 następujących województwach: kujawsko-pomorskim, małopolskim, podlaskim, pomorskim, warmińsko-mazurskim. Szkolenia odbyły się w siedzibach wojewódzkich ośrodków doradztwa rolniczego, były to szkolenia jednodniowe; oraz B - trzydniowe szkolenie dla koordynatorów Ogólnopolskiej Sieci Zagród Edukacyjnych. 
1. Spotkanie dotyczące palnownaych zmian przepisów rozporządzeń MRiRW w zakresie Działania rolno-środowiskowo-klimatycznego i działania Rolnictwo Ekologiczne w ramach PROW 2014-2020 (W-wa 26.07);                                                                                                                                                                                   2.Konferencja pt. Wdrażanie Krajowej Strategii zrównoważonego użytkowania i ochrony zasobów genetycznych zwierząt gospodarskich: osiągnięcia i wyzwania,,  (Kraków 19.10);                                                                                                                                                                                                                            3.Konferencja „Rasy rodzime gwarantem produktów wysokiej jakości” (Nadarzyn 01.12);                                                                                                           4.Wspólne posiedzenie Komitetu ds. Funduszy Rolniczych i Komitetu ds. Rozwoju Obszarów Wiejskich (Bruksela 14.06);                                                        5. Komitet ds. Rozwoju Obszarów Wiejskich ( Bruksela 04.10);                                                                                                                                                                                              6. Warsztaty pn. "Opracowanie raportu z wdrażania Konwencji Ramsarskie"  (Wożnawieś 12-13.09);                                                                                       7.Warsztaty pt. "Natura 2000: efektywne wykorzystanie możliwości wsparcia w ramach polityki rozwoju obszarów wiejskich" (Bruksela 28.09);
8.  Szkolenie dla doradców rolnośrodowiskowych (Radom 08.02);
9.  Konferencja PROW 2014-2020 (Sokółka 13.05);
10.  Międzynarodowe Targi Rolno-Przemysłowe AGRO – TECH (Minikowo 30.06.-02.07);
11. Konferencja „Upowszechnianie wiedzy w zakresie jakości żywności”(Łódź 12.10);                                                                                                                                                                                                                                                                                                                                                                                       12. Targi: Regionalna Wystawa Zwierząt Hodowlanych (Szepietowo 24-25.06.2017);                                                                                                                                                                                                                                                                                                                                                                                              13.Seminarium dotyczącego realizacji działania „Zalesianie i tworzenie terenów zalesionych” objętego Programem Rozwoju Obszarów Wiejskich na lata 2014-2020, w terminie  12 grudnia 2017 roku. </v>
          </cell>
          <cell r="B178"/>
        </row>
        <row r="179">
          <cell r="A179"/>
          <cell r="B179"/>
        </row>
        <row r="180">
          <cell r="A180"/>
          <cell r="B180"/>
        </row>
        <row r="181">
          <cell r="A181"/>
          <cell r="B181"/>
        </row>
        <row r="182">
          <cell r="A182"/>
          <cell r="B182"/>
        </row>
        <row r="183">
          <cell r="A183"/>
          <cell r="B183"/>
        </row>
        <row r="184">
          <cell r="A184"/>
          <cell r="B184"/>
        </row>
        <row r="185">
          <cell r="A185"/>
          <cell r="B185"/>
        </row>
        <row r="189">
          <cell r="A189" t="str">
            <v xml:space="preserve"> 1. Szkolenie związane ze zmianami w przepisach dotyczących działania Program rolnośrodowiskowy PROW 2007-2013 oraz działań: Działanie rolno - środowiskowo - klimatyczne  i Rolnictwo ekologiczne PROW 2014-2020, (24.03.)                                                                                                                                                           2.Szkolenia dla hodowców zwierząt Pakietu 7. Działania rolno-środowiskowo-klimatycznego w ramach PROW 2014-2020. (8-9.11;15-16.11;17-18.11;19-20.11;22-23.11)                  1. Dobre Praktyki w  ramach Działania rolno-środowiskowo-klimatycznego i działania Rolnictwo Ekologiczne;                                                                                                                                                                                                                                              2. Seminarium dotyczącego realizacji działania „Zalesianie i tworzenie terenów zalesionych” objętego Programem Rozwoju Obszarów Wiejskich na lata 2014-2020, w terminie  13-14 października 2016 roku. 7. Udział w warsztatach pod hasłem „Środki rolno-środowiskowo-klimatyczne: trudności w kontrolowaniu i weryfikowaniu” (Bruksela 6-7.12); 1. Udział w spotkaniu dwustronnym RD2/2016/006/PL - dot. postępowanie audytowe (działanie 10, 11 i 13 PROW 2014-2020) - (Bruksela 12-13.12)                                                                                                                                                                                                                                                                                                                              2. Udział  w posiedzeniu Grupy ekspertów ds. płatności bezpośrednich oraz Rozwoju Obszarów Wiejskich (Bruksela 18.01);                                                                             
3. Udział w spotkaniu dyrektorów ds. Rozwoju Obszarów Wiejskich (Haarlem, Holandia, 20-22.04);                                                                                                                                                                                                                                                                   4. Udział w Seminarium pt. „European seminar on agri-environment-climate measures (AECM)” (Paryż, Francja, 8-9.09);                                                                  
5. Udział w konferencji „Przyroda Karpat – stan, zagrożenia i perspektywy ochrony” ( Kraków 14-15.09);                                                                                                                                                                                                                                                                                                                                                                                                                                                                                                                                     
6.  Irlandia na Europejskiej Konferencji dotyczącej rozwoju obszarów wiejskich, która odbyła się w dniach 5-6 września 2016 roku, w Cork (Irlandia) (wyjazd 5.09.2016  powrót był 7.09.2016);                                                                                                                                                                                                                                                                                                                                                                                                                                                                                                                                                                                                                                                                                                                                                                                                                                                                                                                                                                                             7. Udział w posiedzeniu do spraw Rozwoju Obszarów Wiejskich (17 luty Bruksela);                                                                                                                                                                                                                                                                                                     8. Grupa ekspertów ds. monitorowania i ewaluacji WPR (17-18 listopada Bruksela);                                                                                                                                                                                                                                                                                                               9. Warsztaty zorganizowane przez European Evaluation Helpdesk-poświęcone ocenie programów rozwoju obszarów wiejskich pod kątem ich wpływu na zachowanie/ rozwoju gospodarowania sprzyjającego zachowaniu bioróżnorodności i krajobrazu (BONN);                                                                                                                                                                                                                                                                                                                                                                                                10. Spotkanie Agri Environment Correspondents (Bruksela 26-27.04).   * W szkoleniach brali udział właściciele Zagród Edukacyjnych zagród edukacyjnych, członkowie ich rodzin oraz osoby zainteresowane zarejestrowaniem swojej zagrody edukacyjnej w Ogólnopolskiej Sieci Zagród Edukacyjnych.  DPB
1. Szkolenie dotycząse w drażania Działania rolno-środowiskowoo-klimatycznego i Działania Rolnictwo ekologiczne w ramach PROW 2014-2020 od 2017 r. (13.04)                                                                                                                                                                                                                                                                                                                     2. Zasoby genetyczne w rolnictwie (15-16.11)  
SAR
Szkolenia dla doradców świadczących doradztwo w ramach PROW 2014-2020
DROW
1.  543 uczestników 2 cykli dwudniowych warsztatów, z których każdy składał się z 8 warsztatów;
2. 253 uczestników 1 cyklu jednodniowych warsztatów składającego się z 8 spotkań;
3. 50 uczestników 2 jednodniowych szkoleń;
SAR
W szkoleniach z zakresu pierwszej pomocy brali udział właściciele zagród edukacyjnych, członkowie ich rodzin oraz osoby zainteresowane zarejestrowaniem swojej zagrody edukacyjnej w Ogólnopolskiej Sieci Zagród Edukacyjnych. W szkoleniu dla koordynatorów Sieci Zagród brali udział doradcy zatrudnieni w ODR oraz inne osoby zaangażowane w OSZE (pracownicy MRiRW oraz eksperci).
1. Spotkanie dotyczące palnownaych zmian przepisów rozporządzeń MRiRW w zakresie Działania rolno-środowiskowo-klimatycznego i działania Rolnictwo Ekologiczne w ramach PROW 2014-2020 (W-wa 26.07);                                                                                                                                                                                   2.Konferencja pt. Wdrażanie Krajowej Strategii zrównoważonego użytkowania i ochrony zasobów genetycznych zwierząt gospodarskich: osiągnięcia i wyzwania,,  (Kraków 19.10);                                                                                                                                                                                                                            3.Konferencja „Rasy rodzime gwarantem produktów wysokiej jakości” (Nadarzyn 01.12);                                                                                                           4.Wspólne posiedzenie Komitetu ds. Funduszy Rolniczych i Komitetu ds. Rozwoju Obszarów Wiejskich (Bruksela 14.06);                                                        5. Komitet ds. Rozwoju Obszarów Wiejskich ( Bruksela 04.10);
6. Warsztaty pn. "Opracowanie raportu z wdrażania Konwencji Ramsarskie"  (Wożnawieś 12-13.09);                                                                                       7.Warsztaty pt. "Natura 2000: efektywne wykorzystanie możliwości wsparcia w ramach polityki rozwoju obszarów wiejskich" (Bruksela 28.09);   8.  Szkolenie dla doradców rolnośrodowiskowych (Radom 08.02);
9.  Konferencja PROW 2014-2020 (Sokółka 13.05);
10.  Międzynarodowe Targi Rolno-Przemysłowe AGRO – TECH (Minikowo 30.06.-02.07);
11. Konferencja „Upowszechnianie wiedzy w zakresie jakości żywności”(Łódź 12.10);                                                                                                                                                                                                                                                                                                                                                                                  12. Targi: Regionalna Wystawa Zwierząt Hodowlanych (Szepietowo 24-25.06.2017);                                                                                                                                                                                                                                                                                                                                                                                                 13. Seminarium dotyczącego realizacji działania „Zalesianie i tworzenie terenów zalesionych” objętego Programem Rozwoju Obszarów Wiejskich na lata 2014-2020, w terminie  12 grudnia 2017 roku.</v>
          </cell>
          <cell r="B189"/>
        </row>
        <row r="190">
          <cell r="A190"/>
          <cell r="B190"/>
        </row>
        <row r="191">
          <cell r="A191"/>
          <cell r="B191"/>
        </row>
        <row r="192">
          <cell r="A192"/>
          <cell r="B192"/>
        </row>
        <row r="193">
          <cell r="A193"/>
          <cell r="B193"/>
        </row>
        <row r="194">
          <cell r="A194"/>
          <cell r="B194"/>
        </row>
        <row r="195">
          <cell r="A195"/>
          <cell r="B195"/>
        </row>
        <row r="196">
          <cell r="A196"/>
          <cell r="B196"/>
        </row>
        <row r="202">
          <cell r="A202" t="str">
            <v xml:space="preserve">      DROW
1. umożliwienie udziału przedstawicieli LGD w 4 zagranicznych spotkaniach mających na celu skojarzenie potencjalnych partnerów projektów współpracy międzynarodowej</v>
          </cell>
          <cell r="B202"/>
        </row>
        <row r="203">
          <cell r="A203"/>
          <cell r="B203"/>
        </row>
        <row r="204">
          <cell r="A204"/>
          <cell r="B204"/>
        </row>
        <row r="205">
          <cell r="A205"/>
          <cell r="B205"/>
        </row>
        <row r="206">
          <cell r="A206"/>
          <cell r="B206"/>
        </row>
        <row r="207">
          <cell r="A207"/>
          <cell r="B207"/>
        </row>
        <row r="208">
          <cell r="A208"/>
          <cell r="B208"/>
        </row>
        <row r="209">
          <cell r="A209"/>
          <cell r="B209"/>
        </row>
        <row r="213">
          <cell r="B213" t="str">
            <v>W ramach kosztów funkcjonowania wliczono koszty delegacji krajowych, szkoleń, kursów językowych, wynagrodzeń osobowych, bezosobowych, ekspertyz, ksiegi wizualizacji, utrzymania portalu KSOW, usług remontowych, wyposażenia stanowisk pracy osób zajmujacych się KSOW, tłumaczeń, organizacji spotkań, materiałów, usług teleinformatycznych, eksploatacyjnych przypadających na pracowników zaangażowanych w realizację zadań w ramach KSOW.</v>
          </cell>
        </row>
        <row r="214">
          <cell r="B214"/>
        </row>
        <row r="215">
          <cell r="B215"/>
        </row>
        <row r="216">
          <cell r="B216"/>
        </row>
        <row r="217">
          <cell r="B217"/>
        </row>
        <row r="218">
          <cell r="B218"/>
        </row>
        <row r="219">
          <cell r="B219"/>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35.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9"/>
  <sheetViews>
    <sheetView topLeftCell="C12" zoomScale="90" zoomScaleNormal="90" workbookViewId="0">
      <selection activeCell="H18" sqref="H18:O18"/>
    </sheetView>
  </sheetViews>
  <sheetFormatPr defaultColWidth="8.85546875" defaultRowHeight="15"/>
  <cols>
    <col min="1" max="1" width="91" customWidth="1"/>
    <col min="2" max="2" width="29.42578125" customWidth="1"/>
    <col min="3" max="3" width="16.140625" customWidth="1"/>
    <col min="4" max="6" width="17.7109375" customWidth="1"/>
    <col min="7" max="7" width="22.42578125" customWidth="1"/>
    <col min="8" max="8" width="24.85546875" customWidth="1"/>
    <col min="9" max="9" width="19.42578125" customWidth="1"/>
    <col min="10" max="10" width="20.85546875" customWidth="1"/>
    <col min="11" max="11" width="17.42578125" customWidth="1"/>
    <col min="12" max="12" width="15.42578125" customWidth="1"/>
    <col min="13" max="13" width="14.5703125" customWidth="1"/>
    <col min="14" max="14" width="14" customWidth="1"/>
    <col min="15" max="15" width="13.5703125" customWidth="1"/>
    <col min="16" max="16" width="18.7109375" customWidth="1"/>
    <col min="17" max="25" width="13.7109375" customWidth="1"/>
  </cols>
  <sheetData>
    <row r="1" spans="1:25" s="1" customFormat="1" ht="31.5">
      <c r="A1" s="334" t="s">
        <v>0</v>
      </c>
      <c r="B1" s="1943" t="s">
        <v>169</v>
      </c>
      <c r="C1" s="1944"/>
      <c r="D1" s="1944"/>
      <c r="E1" s="1944"/>
      <c r="F1" s="1944"/>
    </row>
    <row r="2" spans="1:25" s="1" customFormat="1" ht="20.100000000000001" customHeight="1" thickBot="1"/>
    <row r="3" spans="1:25" s="4" customFormat="1" ht="20.100000000000001" customHeight="1">
      <c r="A3" s="2" t="s">
        <v>2</v>
      </c>
      <c r="B3" s="3"/>
      <c r="C3" s="3"/>
      <c r="D3" s="3"/>
      <c r="E3" s="3"/>
      <c r="F3" s="1945"/>
      <c r="G3" s="1945"/>
      <c r="H3" s="1945"/>
      <c r="I3" s="1945"/>
      <c r="J3" s="1945"/>
      <c r="K3" s="1945"/>
      <c r="L3" s="1945"/>
      <c r="M3" s="1945"/>
      <c r="N3" s="1945"/>
      <c r="O3" s="1946"/>
    </row>
    <row r="4" spans="1:25" s="4" customFormat="1" ht="20.100000000000001" customHeight="1">
      <c r="A4" s="1947" t="s">
        <v>170</v>
      </c>
      <c r="B4" s="1948"/>
      <c r="C4" s="1948"/>
      <c r="D4" s="1948"/>
      <c r="E4" s="1948"/>
      <c r="F4" s="1948"/>
      <c r="G4" s="1948"/>
      <c r="H4" s="1948"/>
      <c r="I4" s="1948"/>
      <c r="J4" s="1948"/>
      <c r="K4" s="1948"/>
      <c r="L4" s="1948"/>
      <c r="M4" s="1948"/>
      <c r="N4" s="1948"/>
      <c r="O4" s="1949"/>
    </row>
    <row r="5" spans="1:25" s="4" customFormat="1" ht="20.100000000000001" customHeight="1">
      <c r="A5" s="1947"/>
      <c r="B5" s="1948"/>
      <c r="C5" s="1948"/>
      <c r="D5" s="1948"/>
      <c r="E5" s="1948"/>
      <c r="F5" s="1948"/>
      <c r="G5" s="1948"/>
      <c r="H5" s="1948"/>
      <c r="I5" s="1948"/>
      <c r="J5" s="1948"/>
      <c r="K5" s="1948"/>
      <c r="L5" s="1948"/>
      <c r="M5" s="1948"/>
      <c r="N5" s="1948"/>
      <c r="O5" s="1949"/>
    </row>
    <row r="6" spans="1:25" s="4" customFormat="1" ht="20.100000000000001" customHeight="1">
      <c r="A6" s="1947"/>
      <c r="B6" s="1948"/>
      <c r="C6" s="1948"/>
      <c r="D6" s="1948"/>
      <c r="E6" s="1948"/>
      <c r="F6" s="1948"/>
      <c r="G6" s="1948"/>
      <c r="H6" s="1948"/>
      <c r="I6" s="1948"/>
      <c r="J6" s="1948"/>
      <c r="K6" s="1948"/>
      <c r="L6" s="1948"/>
      <c r="M6" s="1948"/>
      <c r="N6" s="1948"/>
      <c r="O6" s="1949"/>
    </row>
    <row r="7" spans="1:25" s="4" customFormat="1" ht="20.100000000000001" customHeight="1">
      <c r="A7" s="1947"/>
      <c r="B7" s="1948"/>
      <c r="C7" s="1948"/>
      <c r="D7" s="1948"/>
      <c r="E7" s="1948"/>
      <c r="F7" s="1948"/>
      <c r="G7" s="1948"/>
      <c r="H7" s="1948"/>
      <c r="I7" s="1948"/>
      <c r="J7" s="1948"/>
      <c r="K7" s="1948"/>
      <c r="L7" s="1948"/>
      <c r="M7" s="1948"/>
      <c r="N7" s="1948"/>
      <c r="O7" s="1949"/>
    </row>
    <row r="8" spans="1:25" s="4" customFormat="1" ht="20.100000000000001" customHeight="1">
      <c r="A8" s="1947"/>
      <c r="B8" s="1948"/>
      <c r="C8" s="1948"/>
      <c r="D8" s="1948"/>
      <c r="E8" s="1948"/>
      <c r="F8" s="1948"/>
      <c r="G8" s="1948"/>
      <c r="H8" s="1948"/>
      <c r="I8" s="1948"/>
      <c r="J8" s="1948"/>
      <c r="K8" s="1948"/>
      <c r="L8" s="1948"/>
      <c r="M8" s="1948"/>
      <c r="N8" s="1948"/>
      <c r="O8" s="1949"/>
    </row>
    <row r="9" spans="1:25" s="4" customFormat="1" ht="20.100000000000001" customHeight="1">
      <c r="A9" s="1947"/>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8.25" customHeight="1" thickBot="1">
      <c r="P14" s="7"/>
      <c r="Q14" s="7"/>
      <c r="R14" s="7"/>
      <c r="S14" s="7"/>
      <c r="T14" s="7"/>
      <c r="U14" s="7"/>
      <c r="V14" s="7"/>
      <c r="W14" s="7"/>
      <c r="X14" s="7"/>
    </row>
    <row r="15" spans="1:25" s="51" customFormat="1" ht="29.25" customHeight="1">
      <c r="A15" s="8"/>
      <c r="B15" s="9"/>
      <c r="C15" s="10"/>
      <c r="D15" s="1953" t="s">
        <v>5</v>
      </c>
      <c r="E15" s="1954"/>
      <c r="F15" s="1954"/>
      <c r="G15" s="1954"/>
      <c r="H15" s="11"/>
      <c r="I15" s="12" t="s">
        <v>6</v>
      </c>
      <c r="J15" s="13"/>
      <c r="K15" s="13"/>
      <c r="L15" s="13"/>
      <c r="M15" s="13"/>
      <c r="N15" s="13"/>
      <c r="O15" s="14"/>
      <c r="P15" s="15"/>
      <c r="Q15" s="16"/>
      <c r="R15" s="17"/>
      <c r="S15" s="17"/>
      <c r="T15" s="17"/>
      <c r="U15" s="17"/>
      <c r="V15" s="17"/>
      <c r="W15" s="15"/>
      <c r="X15" s="15"/>
      <c r="Y15" s="16"/>
    </row>
    <row r="16" spans="1:25" s="56" customFormat="1" ht="154.5" customHeight="1">
      <c r="A16" s="1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1955" t="s">
        <v>172</v>
      </c>
      <c r="B17" s="1956"/>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1955"/>
      <c r="B18" s="1956"/>
      <c r="C18" s="218">
        <v>2015</v>
      </c>
      <c r="D18" s="336">
        <f>1+7+2</f>
        <v>10</v>
      </c>
      <c r="E18" s="255">
        <f>3</f>
        <v>3</v>
      </c>
      <c r="F18" s="178"/>
      <c r="G18" s="337">
        <f>SUM(D18:F18)</f>
        <v>13</v>
      </c>
      <c r="H18" s="338">
        <f>1</f>
        <v>1</v>
      </c>
      <c r="I18" s="255">
        <f>4</f>
        <v>4</v>
      </c>
      <c r="J18" s="255"/>
      <c r="K18" s="255">
        <f>5</f>
        <v>5</v>
      </c>
      <c r="L18" s="255">
        <v>2</v>
      </c>
      <c r="M18" s="255"/>
      <c r="N18" s="339"/>
      <c r="O18" s="340">
        <v>1</v>
      </c>
      <c r="P18" s="35"/>
      <c r="Q18" s="35"/>
      <c r="R18" s="35"/>
      <c r="S18" s="35"/>
      <c r="T18" s="35"/>
      <c r="U18" s="35"/>
      <c r="V18" s="35"/>
      <c r="W18" s="35"/>
      <c r="X18" s="35"/>
      <c r="Y18" s="35"/>
    </row>
    <row r="19" spans="1:25">
      <c r="A19" s="1955"/>
      <c r="B19" s="1956"/>
      <c r="C19" s="218">
        <v>2016</v>
      </c>
      <c r="D19" s="336">
        <f>5+8</f>
        <v>13</v>
      </c>
      <c r="E19" s="255">
        <v>2</v>
      </c>
      <c r="F19" s="255">
        <f>4-2</f>
        <v>2</v>
      </c>
      <c r="G19" s="341">
        <f t="shared" si="0"/>
        <v>17</v>
      </c>
      <c r="H19" s="338">
        <f>1+2</f>
        <v>3</v>
      </c>
      <c r="I19" s="255">
        <f>3</f>
        <v>3</v>
      </c>
      <c r="J19" s="255"/>
      <c r="K19" s="255">
        <f>2</f>
        <v>2</v>
      </c>
      <c r="L19" s="255"/>
      <c r="M19" s="255"/>
      <c r="N19" s="342"/>
      <c r="O19" s="343">
        <f>11-2</f>
        <v>9</v>
      </c>
      <c r="P19" s="35"/>
      <c r="Q19" s="35"/>
      <c r="R19" s="35"/>
      <c r="S19" s="35"/>
      <c r="T19" s="35"/>
      <c r="U19" s="35"/>
      <c r="V19" s="35"/>
      <c r="W19" s="35"/>
      <c r="X19" s="35"/>
      <c r="Y19" s="35"/>
    </row>
    <row r="20" spans="1:25">
      <c r="A20" s="1955"/>
      <c r="B20" s="1956"/>
      <c r="C20" s="218">
        <v>2017</v>
      </c>
      <c r="D20" s="217">
        <f>23</f>
        <v>23</v>
      </c>
      <c r="E20" s="178"/>
      <c r="F20" s="178">
        <v>2</v>
      </c>
      <c r="G20" s="337">
        <f t="shared" si="0"/>
        <v>25</v>
      </c>
      <c r="H20" s="344">
        <f>6</f>
        <v>6</v>
      </c>
      <c r="I20" s="178">
        <f>6</f>
        <v>6</v>
      </c>
      <c r="J20" s="178">
        <f>1</f>
        <v>1</v>
      </c>
      <c r="K20" s="178">
        <f>1+4</f>
        <v>5</v>
      </c>
      <c r="L20" s="178"/>
      <c r="M20" s="178"/>
      <c r="N20" s="345"/>
      <c r="O20" s="346">
        <f>1+6</f>
        <v>7</v>
      </c>
      <c r="P20" s="35"/>
      <c r="Q20" s="35"/>
      <c r="R20" s="35"/>
      <c r="S20" s="35"/>
      <c r="T20" s="35"/>
      <c r="U20" s="35"/>
      <c r="V20" s="35"/>
      <c r="W20" s="35"/>
      <c r="X20" s="35"/>
      <c r="Y20" s="35"/>
    </row>
    <row r="21" spans="1:25">
      <c r="A21" s="1955"/>
      <c r="B21" s="1956"/>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1955"/>
      <c r="B22" s="1956"/>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1955"/>
      <c r="B23" s="1956"/>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278.25" customHeight="1" thickBot="1">
      <c r="A24" s="1957"/>
      <c r="B24" s="1958"/>
      <c r="C24" s="42" t="s">
        <v>13</v>
      </c>
      <c r="D24" s="43">
        <f>SUM(D17:D23)</f>
        <v>46</v>
      </c>
      <c r="E24" s="44">
        <f>SUM(E17:E23)</f>
        <v>5</v>
      </c>
      <c r="F24" s="44">
        <f>SUM(F17:F23)</f>
        <v>4</v>
      </c>
      <c r="G24" s="45">
        <f>SUM(D24:F24)</f>
        <v>55</v>
      </c>
      <c r="H24" s="46">
        <f>SUM(H17:H23)</f>
        <v>10</v>
      </c>
      <c r="I24" s="47">
        <f>SUM(I17:I23)</f>
        <v>13</v>
      </c>
      <c r="J24" s="47">
        <f t="shared" ref="J24:N24" si="1">SUM(J17:J23)</f>
        <v>1</v>
      </c>
      <c r="K24" s="47">
        <f t="shared" si="1"/>
        <v>12</v>
      </c>
      <c r="L24" s="47">
        <f t="shared" si="1"/>
        <v>2</v>
      </c>
      <c r="M24" s="47">
        <f t="shared" si="1"/>
        <v>0</v>
      </c>
      <c r="N24" s="47">
        <f t="shared" si="1"/>
        <v>0</v>
      </c>
      <c r="O24" s="48">
        <f>SUM(O17:O23)</f>
        <v>17</v>
      </c>
      <c r="P24" s="347"/>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8"/>
      <c r="B26" s="9"/>
      <c r="C26" s="50"/>
      <c r="D26" s="1959" t="s">
        <v>5</v>
      </c>
      <c r="E26" s="1960"/>
      <c r="F26" s="1960"/>
      <c r="G26" s="1961"/>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1937" t="s">
        <v>173</v>
      </c>
      <c r="B28" s="1962"/>
      <c r="C28" s="57">
        <v>2014</v>
      </c>
      <c r="D28" s="33"/>
      <c r="E28" s="31"/>
      <c r="F28" s="31"/>
      <c r="G28" s="58">
        <f>SUM(D28:F28)</f>
        <v>0</v>
      </c>
      <c r="H28" s="35"/>
      <c r="I28" s="35"/>
      <c r="J28" s="35"/>
      <c r="K28" s="35"/>
      <c r="L28" s="35"/>
      <c r="M28" s="35"/>
      <c r="N28" s="35"/>
      <c r="O28" s="35"/>
      <c r="P28" s="35"/>
      <c r="Q28" s="7"/>
    </row>
    <row r="29" spans="1:25">
      <c r="A29" s="1937"/>
      <c r="B29" s="1962"/>
      <c r="C29" s="59">
        <v>2015</v>
      </c>
      <c r="D29" s="349">
        <f>2394+2000</f>
        <v>4394</v>
      </c>
      <c r="E29" s="339">
        <f>10000+11000+60000</f>
        <v>81000</v>
      </c>
      <c r="F29" s="38"/>
      <c r="G29" s="58">
        <f t="shared" ref="G29:G35" si="2">SUM(D29:F29)</f>
        <v>85394</v>
      </c>
      <c r="H29" s="35"/>
      <c r="I29" s="35"/>
      <c r="J29" s="35"/>
      <c r="K29" s="35"/>
      <c r="L29" s="35"/>
      <c r="M29" s="35"/>
      <c r="N29" s="35"/>
      <c r="O29" s="35"/>
      <c r="P29" s="35"/>
      <c r="Q29" s="7"/>
    </row>
    <row r="30" spans="1:25">
      <c r="A30" s="1937"/>
      <c r="B30" s="1962"/>
      <c r="C30" s="59">
        <v>2016</v>
      </c>
      <c r="D30" s="342">
        <f>2000+3000+6000+600+210+5000+2500+1000+2000+2000+40+80+45</f>
        <v>24475</v>
      </c>
      <c r="E30" s="350">
        <f>12000+60000</f>
        <v>72000</v>
      </c>
      <c r="F30" s="342">
        <f>400000+20000</f>
        <v>420000</v>
      </c>
      <c r="G30" s="58">
        <f t="shared" si="2"/>
        <v>516475</v>
      </c>
      <c r="H30" s="35"/>
      <c r="I30" s="35"/>
      <c r="J30" s="35"/>
      <c r="K30" s="35"/>
      <c r="L30" s="35"/>
      <c r="M30" s="35"/>
      <c r="N30" s="35"/>
      <c r="O30" s="35"/>
      <c r="P30" s="35"/>
      <c r="Q30" s="7"/>
    </row>
    <row r="31" spans="1:25">
      <c r="A31" s="1937"/>
      <c r="B31" s="1962"/>
      <c r="C31" s="59">
        <v>2017</v>
      </c>
      <c r="D31" s="344">
        <f>91910</f>
        <v>91910</v>
      </c>
      <c r="E31" s="178"/>
      <c r="F31" s="178">
        <v>420000</v>
      </c>
      <c r="G31" s="351">
        <f t="shared" si="2"/>
        <v>511910</v>
      </c>
      <c r="H31" s="35"/>
      <c r="I31" s="35"/>
      <c r="J31" s="35"/>
      <c r="K31" s="35"/>
      <c r="L31" s="35"/>
      <c r="M31" s="35"/>
      <c r="N31" s="35"/>
      <c r="O31" s="35"/>
      <c r="P31" s="35"/>
      <c r="Q31" s="7"/>
    </row>
    <row r="32" spans="1:25">
      <c r="A32" s="1937"/>
      <c r="B32" s="1962"/>
      <c r="C32" s="59">
        <v>2018</v>
      </c>
      <c r="D32" s="344"/>
      <c r="E32" s="178"/>
      <c r="F32" s="178"/>
      <c r="G32" s="351">
        <f>SUM(D32:F32)</f>
        <v>0</v>
      </c>
      <c r="I32" s="35"/>
      <c r="J32" s="35"/>
      <c r="K32" s="35"/>
      <c r="L32" s="35"/>
      <c r="M32" s="35"/>
      <c r="N32" s="35"/>
      <c r="O32" s="35"/>
      <c r="P32" s="35"/>
      <c r="Q32" s="7"/>
    </row>
    <row r="33" spans="1:17">
      <c r="A33" s="1937"/>
      <c r="B33" s="1962"/>
      <c r="C33" s="60">
        <v>2019</v>
      </c>
      <c r="D33" s="39"/>
      <c r="E33" s="38"/>
      <c r="F33" s="38"/>
      <c r="G33" s="58">
        <f t="shared" si="2"/>
        <v>0</v>
      </c>
      <c r="H33" s="35"/>
      <c r="I33" s="35"/>
      <c r="J33" s="35"/>
      <c r="K33" s="35"/>
      <c r="L33" s="35"/>
      <c r="M33" s="35"/>
      <c r="N33" s="35"/>
      <c r="O33" s="35"/>
      <c r="P33" s="35"/>
      <c r="Q33" s="7"/>
    </row>
    <row r="34" spans="1:17" ht="24" customHeight="1">
      <c r="A34" s="1937"/>
      <c r="B34" s="1962"/>
      <c r="C34" s="59">
        <v>2020</v>
      </c>
      <c r="D34" s="39"/>
      <c r="E34" s="38"/>
      <c r="F34" s="38"/>
      <c r="G34" s="58">
        <f t="shared" si="2"/>
        <v>0</v>
      </c>
      <c r="H34" s="35"/>
      <c r="I34" s="35"/>
      <c r="J34" s="35"/>
      <c r="K34" s="35"/>
      <c r="L34" s="35"/>
      <c r="M34" s="35"/>
      <c r="N34" s="35"/>
      <c r="O34" s="35"/>
      <c r="P34" s="35"/>
      <c r="Q34" s="7"/>
    </row>
    <row r="35" spans="1:17" ht="401.25" customHeight="1" thickBot="1">
      <c r="A35" s="1963"/>
      <c r="B35" s="1964"/>
      <c r="C35" s="61" t="s">
        <v>13</v>
      </c>
      <c r="D35" s="46">
        <f>SUM(D28:D34)</f>
        <v>120779</v>
      </c>
      <c r="E35" s="44">
        <f>SUM(E28:E34)</f>
        <v>153000</v>
      </c>
      <c r="F35" s="44">
        <f>SUM(F28:F34)</f>
        <v>840000</v>
      </c>
      <c r="G35" s="48">
        <f t="shared" si="2"/>
        <v>1113779</v>
      </c>
      <c r="H35" s="35"/>
      <c r="I35" s="35"/>
      <c r="J35" s="35"/>
      <c r="K35" s="35"/>
      <c r="L35" s="35"/>
      <c r="M35" s="35"/>
      <c r="N35" s="35"/>
      <c r="O35" s="35"/>
      <c r="P35" s="35"/>
      <c r="Q35" s="7"/>
    </row>
    <row r="36" spans="1:17">
      <c r="A36" s="62"/>
      <c r="B36" s="62"/>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352" t="s">
        <v>26</v>
      </c>
      <c r="B39" s="353" t="s">
        <v>174</v>
      </c>
      <c r="C39" s="354" t="s">
        <v>9</v>
      </c>
      <c r="D39" s="355" t="s">
        <v>28</v>
      </c>
      <c r="E39" s="356" t="s">
        <v>29</v>
      </c>
      <c r="F39" s="357"/>
      <c r="G39" s="28"/>
      <c r="H39" s="28"/>
    </row>
    <row r="40" spans="1:17">
      <c r="A40" s="1965" t="s">
        <v>175</v>
      </c>
      <c r="B40" s="1966"/>
      <c r="C40" s="358">
        <v>2014</v>
      </c>
      <c r="D40" s="359"/>
      <c r="E40" s="360"/>
      <c r="F40" s="361"/>
      <c r="G40" s="35"/>
      <c r="H40" s="35"/>
    </row>
    <row r="41" spans="1:17">
      <c r="A41" s="1965"/>
      <c r="B41" s="1966"/>
      <c r="C41" s="362">
        <v>2015</v>
      </c>
      <c r="D41" s="363">
        <f>12267+5376</f>
        <v>17643</v>
      </c>
      <c r="E41" s="364">
        <f>8142+1496</f>
        <v>9638</v>
      </c>
      <c r="F41" s="361"/>
      <c r="G41" s="35"/>
      <c r="H41" s="35"/>
    </row>
    <row r="42" spans="1:17">
      <c r="A42" s="1965"/>
      <c r="B42" s="1966"/>
      <c r="C42" s="362">
        <v>2016</v>
      </c>
      <c r="D42" s="365">
        <f>23958+3892</f>
        <v>27850</v>
      </c>
      <c r="E42" s="365">
        <f>1374+2613</f>
        <v>3987</v>
      </c>
      <c r="F42" s="366"/>
      <c r="G42" s="35"/>
      <c r="H42" s="35"/>
    </row>
    <row r="43" spans="1:17">
      <c r="A43" s="1965"/>
      <c r="B43" s="1966"/>
      <c r="C43" s="362">
        <v>2017</v>
      </c>
      <c r="D43" s="367">
        <f>22896</f>
        <v>22896</v>
      </c>
      <c r="E43" s="368">
        <f>6634</f>
        <v>6634</v>
      </c>
      <c r="F43" s="361"/>
      <c r="G43" s="35"/>
      <c r="H43" s="35"/>
    </row>
    <row r="44" spans="1:17">
      <c r="A44" s="1965"/>
      <c r="B44" s="1966"/>
      <c r="C44" s="362">
        <v>2018</v>
      </c>
      <c r="D44" s="367"/>
      <c r="E44" s="368"/>
      <c r="F44" s="361"/>
      <c r="G44" s="35"/>
      <c r="H44" s="35"/>
    </row>
    <row r="45" spans="1:17">
      <c r="A45" s="1965"/>
      <c r="B45" s="1966"/>
      <c r="C45" s="362">
        <v>2019</v>
      </c>
      <c r="D45" s="367"/>
      <c r="E45" s="368"/>
      <c r="F45" s="361"/>
      <c r="G45" s="35"/>
      <c r="H45" s="35"/>
    </row>
    <row r="46" spans="1:17">
      <c r="A46" s="1965"/>
      <c r="B46" s="1966"/>
      <c r="C46" s="362">
        <v>2020</v>
      </c>
      <c r="D46" s="367"/>
      <c r="E46" s="368"/>
      <c r="F46" s="361"/>
      <c r="G46" s="35"/>
      <c r="H46" s="35"/>
    </row>
    <row r="47" spans="1:17" ht="15.75" thickBot="1">
      <c r="A47" s="1967"/>
      <c r="B47" s="1968"/>
      <c r="C47" s="369" t="s">
        <v>13</v>
      </c>
      <c r="D47" s="370">
        <f>SUM(D40:D46)</f>
        <v>68389</v>
      </c>
      <c r="E47" s="371">
        <f>SUM(E40:E46)</f>
        <v>20259</v>
      </c>
      <c r="F47" s="366"/>
      <c r="G47" s="35"/>
      <c r="H47" s="35"/>
    </row>
    <row r="48" spans="1:17" s="35" customFormat="1" ht="15.75" thickBot="1">
      <c r="A48" s="79"/>
      <c r="B48" s="80"/>
      <c r="C48" s="81"/>
    </row>
    <row r="49" spans="1:15" ht="83.25" customHeight="1">
      <c r="A49" s="82" t="s">
        <v>32</v>
      </c>
      <c r="B49" s="372" t="s">
        <v>171</v>
      </c>
      <c r="C49" s="84" t="s">
        <v>9</v>
      </c>
      <c r="D49" s="69" t="s">
        <v>34</v>
      </c>
      <c r="E49" s="85" t="s">
        <v>35</v>
      </c>
      <c r="F49" s="85" t="s">
        <v>36</v>
      </c>
      <c r="G49" s="85" t="s">
        <v>37</v>
      </c>
      <c r="H49" s="85" t="s">
        <v>38</v>
      </c>
      <c r="I49" s="85" t="s">
        <v>39</v>
      </c>
      <c r="J49" s="85" t="s">
        <v>40</v>
      </c>
      <c r="K49" s="86" t="s">
        <v>41</v>
      </c>
    </row>
    <row r="50" spans="1:15" ht="17.25" customHeight="1">
      <c r="A50" s="1872"/>
      <c r="B50" s="1879"/>
      <c r="C50" s="87" t="s">
        <v>43</v>
      </c>
      <c r="D50" s="30"/>
      <c r="E50" s="31"/>
      <c r="F50" s="31"/>
      <c r="G50" s="31"/>
      <c r="H50" s="31"/>
      <c r="I50" s="31"/>
      <c r="J50" s="31"/>
      <c r="K50" s="34"/>
    </row>
    <row r="51" spans="1:15" ht="15" customHeight="1">
      <c r="A51" s="1874"/>
      <c r="B51" s="1881"/>
      <c r="C51" s="73">
        <v>2014</v>
      </c>
      <c r="D51" s="37"/>
      <c r="E51" s="38"/>
      <c r="F51" s="38"/>
      <c r="G51" s="38"/>
      <c r="H51" s="38"/>
      <c r="I51" s="38"/>
      <c r="J51" s="38"/>
      <c r="K51" s="88"/>
    </row>
    <row r="52" spans="1:15">
      <c r="A52" s="1874"/>
      <c r="B52" s="1881"/>
      <c r="C52" s="73">
        <v>2015</v>
      </c>
      <c r="D52" s="37"/>
      <c r="E52" s="38"/>
      <c r="F52" s="38"/>
      <c r="G52" s="38"/>
      <c r="H52" s="38"/>
      <c r="I52" s="38"/>
      <c r="J52" s="38"/>
      <c r="K52" s="88"/>
    </row>
    <row r="53" spans="1:15">
      <c r="A53" s="1874"/>
      <c r="B53" s="1881"/>
      <c r="C53" s="73">
        <v>2016</v>
      </c>
      <c r="D53" s="37"/>
      <c r="E53" s="38"/>
      <c r="F53" s="38"/>
      <c r="G53" s="38"/>
      <c r="H53" s="38"/>
      <c r="I53" s="38"/>
      <c r="J53" s="38"/>
      <c r="K53" s="88"/>
    </row>
    <row r="54" spans="1:15">
      <c r="A54" s="1874"/>
      <c r="B54" s="1881"/>
      <c r="C54" s="73">
        <v>2017</v>
      </c>
      <c r="D54" s="37"/>
      <c r="E54" s="38"/>
      <c r="F54" s="38"/>
      <c r="G54" s="38"/>
      <c r="H54" s="38"/>
      <c r="I54" s="38"/>
      <c r="J54" s="38"/>
      <c r="K54" s="88"/>
    </row>
    <row r="55" spans="1:15">
      <c r="A55" s="1874"/>
      <c r="B55" s="1881"/>
      <c r="C55" s="73">
        <v>2018</v>
      </c>
      <c r="D55" s="37"/>
      <c r="E55" s="38"/>
      <c r="F55" s="38"/>
      <c r="G55" s="38"/>
      <c r="H55" s="38"/>
      <c r="I55" s="38"/>
      <c r="J55" s="38"/>
      <c r="K55" s="88"/>
    </row>
    <row r="56" spans="1:15">
      <c r="A56" s="1874"/>
      <c r="B56" s="1881"/>
      <c r="C56" s="73">
        <v>2019</v>
      </c>
      <c r="D56" s="37"/>
      <c r="E56" s="38"/>
      <c r="F56" s="38"/>
      <c r="G56" s="38"/>
      <c r="H56" s="38"/>
      <c r="I56" s="38"/>
      <c r="J56" s="38"/>
      <c r="K56" s="88"/>
    </row>
    <row r="57" spans="1:15">
      <c r="A57" s="1874"/>
      <c r="B57" s="1881"/>
      <c r="C57" s="73">
        <v>2020</v>
      </c>
      <c r="D57" s="37"/>
      <c r="E57" s="38"/>
      <c r="F57" s="38"/>
      <c r="G57" s="38"/>
      <c r="H57" s="38"/>
      <c r="I57" s="38"/>
      <c r="J57" s="38"/>
      <c r="K57" s="93"/>
    </row>
    <row r="58" spans="1:15" ht="20.25" customHeight="1" thickBot="1">
      <c r="A58" s="1876"/>
      <c r="B58" s="1883"/>
      <c r="C58" s="42" t="s">
        <v>13</v>
      </c>
      <c r="D58" s="43">
        <f>SUM(D51:D57)</f>
        <v>0</v>
      </c>
      <c r="E58" s="44">
        <f>SUM(E51:E57)</f>
        <v>0</v>
      </c>
      <c r="F58" s="44">
        <f>SUM(F51:F57)</f>
        <v>0</v>
      </c>
      <c r="G58" s="44">
        <f>SUM(G51:G57)</f>
        <v>0</v>
      </c>
      <c r="H58" s="44">
        <f>SUM(H51:H57)</f>
        <v>0</v>
      </c>
      <c r="I58" s="44">
        <f t="shared" ref="I58" si="3">SUM(I51:I57)</f>
        <v>0</v>
      </c>
      <c r="J58" s="44">
        <f>SUM(J51:J57)</f>
        <v>0</v>
      </c>
      <c r="K58" s="48">
        <f>SUM(K50:K56)</f>
        <v>0</v>
      </c>
    </row>
    <row r="59" spans="1:15" ht="15.75" thickBot="1"/>
    <row r="60" spans="1:15" ht="21" customHeight="1">
      <c r="A60" s="1969" t="s">
        <v>44</v>
      </c>
      <c r="B60" s="95"/>
      <c r="C60" s="1971" t="s">
        <v>9</v>
      </c>
      <c r="D60" s="1941" t="s">
        <v>45</v>
      </c>
      <c r="E60" s="96" t="s">
        <v>6</v>
      </c>
      <c r="F60" s="97"/>
      <c r="G60" s="97"/>
      <c r="H60" s="97"/>
      <c r="I60" s="97"/>
      <c r="J60" s="97"/>
      <c r="K60" s="97"/>
      <c r="L60" s="98"/>
    </row>
    <row r="61" spans="1:15" ht="115.5" customHeight="1">
      <c r="A61" s="1970"/>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1933" t="s">
        <v>176</v>
      </c>
      <c r="B62" s="1934"/>
      <c r="C62" s="106">
        <v>2014</v>
      </c>
      <c r="D62" s="107"/>
      <c r="E62" s="108"/>
      <c r="F62" s="109"/>
      <c r="G62" s="109"/>
      <c r="H62" s="109"/>
      <c r="I62" s="109"/>
      <c r="J62" s="109"/>
      <c r="K62" s="109"/>
      <c r="L62" s="34"/>
      <c r="M62" s="7"/>
      <c r="N62" s="7"/>
      <c r="O62" s="7"/>
    </row>
    <row r="63" spans="1:15">
      <c r="A63" s="1933"/>
      <c r="B63" s="1934"/>
      <c r="C63" s="110">
        <v>2015</v>
      </c>
      <c r="D63" s="111"/>
      <c r="E63" s="112"/>
      <c r="F63" s="38"/>
      <c r="G63" s="38"/>
      <c r="H63" s="38"/>
      <c r="I63" s="38"/>
      <c r="J63" s="38"/>
      <c r="K63" s="38"/>
      <c r="L63" s="88"/>
      <c r="M63" s="7"/>
      <c r="N63" s="7"/>
      <c r="O63" s="7"/>
    </row>
    <row r="64" spans="1:15">
      <c r="A64" s="1933"/>
      <c r="B64" s="1934"/>
      <c r="C64" s="110">
        <v>2016</v>
      </c>
      <c r="D64" s="374">
        <v>4</v>
      </c>
      <c r="E64" s="375"/>
      <c r="F64" s="374"/>
      <c r="G64" s="374"/>
      <c r="H64" s="374"/>
      <c r="I64" s="374"/>
      <c r="J64" s="374"/>
      <c r="K64" s="374"/>
      <c r="L64" s="376">
        <v>4</v>
      </c>
      <c r="M64" s="377"/>
      <c r="N64" s="377"/>
      <c r="O64" s="7"/>
    </row>
    <row r="65" spans="1:20">
      <c r="A65" s="1933"/>
      <c r="B65" s="1934"/>
      <c r="C65" s="110">
        <v>2017</v>
      </c>
      <c r="D65" s="378">
        <f>1+6</f>
        <v>7</v>
      </c>
      <c r="E65" s="379">
        <f>1+1</f>
        <v>2</v>
      </c>
      <c r="F65" s="378">
        <f>1</f>
        <v>1</v>
      </c>
      <c r="G65" s="378">
        <f>1</f>
        <v>1</v>
      </c>
      <c r="H65" s="378">
        <f>1+1</f>
        <v>2</v>
      </c>
      <c r="I65" s="378"/>
      <c r="J65" s="378"/>
      <c r="K65" s="378"/>
      <c r="L65" s="380">
        <f>1</f>
        <v>1</v>
      </c>
      <c r="M65" s="377"/>
      <c r="N65" s="377"/>
      <c r="O65" s="7"/>
    </row>
    <row r="66" spans="1:20">
      <c r="A66" s="1933"/>
      <c r="B66" s="1934"/>
      <c r="C66" s="110">
        <v>2018</v>
      </c>
      <c r="D66" s="378"/>
      <c r="E66" s="379"/>
      <c r="F66" s="378"/>
      <c r="G66" s="378"/>
      <c r="H66" s="378"/>
      <c r="I66" s="378"/>
      <c r="J66" s="378"/>
      <c r="K66" s="378"/>
      <c r="L66" s="380"/>
      <c r="M66" s="377"/>
      <c r="N66" s="377"/>
      <c r="O66" s="7"/>
    </row>
    <row r="67" spans="1:20" ht="17.25" customHeight="1">
      <c r="A67" s="1933"/>
      <c r="B67" s="1934"/>
      <c r="C67" s="110">
        <v>2019</v>
      </c>
      <c r="D67" s="378"/>
      <c r="E67" s="379"/>
      <c r="F67" s="378"/>
      <c r="G67" s="378"/>
      <c r="H67" s="378"/>
      <c r="I67" s="378"/>
      <c r="J67" s="378"/>
      <c r="K67" s="378"/>
      <c r="L67" s="380"/>
      <c r="M67" s="377"/>
      <c r="N67" s="377"/>
      <c r="O67" s="7"/>
    </row>
    <row r="68" spans="1:20" ht="16.5" customHeight="1">
      <c r="A68" s="1933"/>
      <c r="B68" s="1934"/>
      <c r="C68" s="110">
        <v>2020</v>
      </c>
      <c r="D68" s="378"/>
      <c r="E68" s="379"/>
      <c r="F68" s="378"/>
      <c r="G68" s="378"/>
      <c r="H68" s="378"/>
      <c r="I68" s="378"/>
      <c r="J68" s="378"/>
      <c r="K68" s="378"/>
      <c r="L68" s="380"/>
      <c r="M68" s="381"/>
      <c r="N68" s="381"/>
      <c r="O68" s="78"/>
    </row>
    <row r="69" spans="1:20" ht="67.5" customHeight="1" thickBot="1">
      <c r="A69" s="1935"/>
      <c r="B69" s="1936"/>
      <c r="C69" s="113" t="s">
        <v>13</v>
      </c>
      <c r="D69" s="114">
        <f>SUM(D62:D68)</f>
        <v>11</v>
      </c>
      <c r="E69" s="115">
        <f>SUM(E62:E68)</f>
        <v>2</v>
      </c>
      <c r="F69" s="116">
        <f t="shared" ref="F69:I69" si="4">SUM(F62:F68)</f>
        <v>1</v>
      </c>
      <c r="G69" s="116">
        <f t="shared" si="4"/>
        <v>1</v>
      </c>
      <c r="H69" s="116">
        <f t="shared" si="4"/>
        <v>2</v>
      </c>
      <c r="I69" s="116">
        <f t="shared" si="4"/>
        <v>0</v>
      </c>
      <c r="J69" s="116"/>
      <c r="K69" s="116">
        <f>SUM(K62:K68)</f>
        <v>0</v>
      </c>
      <c r="L69" s="117">
        <f>SUM(L62:L68)</f>
        <v>5</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66" t="s">
        <v>47</v>
      </c>
      <c r="B71" s="372"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1937" t="s">
        <v>177</v>
      </c>
      <c r="B72" s="1934"/>
      <c r="C72" s="382">
        <v>2014</v>
      </c>
      <c r="D72" s="383"/>
      <c r="E72" s="383"/>
      <c r="F72" s="383"/>
      <c r="G72" s="384">
        <f>SUM(D72:F72)</f>
        <v>0</v>
      </c>
      <c r="H72" s="214"/>
      <c r="I72" s="385"/>
      <c r="J72" s="386"/>
      <c r="K72" s="386"/>
      <c r="L72" s="386"/>
      <c r="M72" s="386"/>
      <c r="N72" s="386"/>
      <c r="O72" s="387"/>
    </row>
    <row r="73" spans="1:20">
      <c r="A73" s="1937"/>
      <c r="B73" s="1934"/>
      <c r="C73" s="388">
        <v>2015</v>
      </c>
      <c r="D73" s="389">
        <f>3+3</f>
        <v>6</v>
      </c>
      <c r="E73" s="389">
        <v>1</v>
      </c>
      <c r="F73" s="389"/>
      <c r="G73" s="384">
        <f t="shared" ref="G73:G78" si="5">SUM(D73:F73)</f>
        <v>7</v>
      </c>
      <c r="H73" s="336">
        <f>3</f>
        <v>3</v>
      </c>
      <c r="I73" s="336"/>
      <c r="J73" s="255"/>
      <c r="K73" s="255">
        <f>2+1</f>
        <v>3</v>
      </c>
      <c r="L73" s="255">
        <v>1</v>
      </c>
      <c r="M73" s="178"/>
      <c r="N73" s="178"/>
      <c r="O73" s="179"/>
    </row>
    <row r="74" spans="1:20">
      <c r="A74" s="1937"/>
      <c r="B74" s="1934"/>
      <c r="C74" s="388">
        <v>2016</v>
      </c>
      <c r="D74" s="389">
        <f>7+1</f>
        <v>8</v>
      </c>
      <c r="E74" s="389">
        <v>2</v>
      </c>
      <c r="F74" s="389"/>
      <c r="G74" s="384">
        <f t="shared" si="5"/>
        <v>10</v>
      </c>
      <c r="H74" s="336"/>
      <c r="I74" s="336"/>
      <c r="J74" s="255"/>
      <c r="K74" s="255">
        <f>5+1</f>
        <v>6</v>
      </c>
      <c r="L74" s="255">
        <v>2</v>
      </c>
      <c r="M74" s="178"/>
      <c r="N74" s="178"/>
      <c r="O74" s="256">
        <f>1+1</f>
        <v>2</v>
      </c>
    </row>
    <row r="75" spans="1:20">
      <c r="A75" s="1937"/>
      <c r="B75" s="1934"/>
      <c r="C75" s="388">
        <v>2017</v>
      </c>
      <c r="D75" s="390">
        <f>7+10+10</f>
        <v>27</v>
      </c>
      <c r="E75" s="390"/>
      <c r="F75" s="390"/>
      <c r="G75" s="384">
        <f t="shared" si="5"/>
        <v>27</v>
      </c>
      <c r="H75" s="336">
        <f>10</f>
        <v>10</v>
      </c>
      <c r="I75" s="336"/>
      <c r="J75" s="255">
        <f>10</f>
        <v>10</v>
      </c>
      <c r="K75" s="255">
        <v>7</v>
      </c>
      <c r="L75" s="255"/>
      <c r="M75" s="178"/>
      <c r="N75" s="178"/>
      <c r="O75" s="179"/>
    </row>
    <row r="76" spans="1:20">
      <c r="A76" s="1937"/>
      <c r="B76" s="1934"/>
      <c r="C76" s="388">
        <v>2018</v>
      </c>
      <c r="D76" s="390"/>
      <c r="E76" s="390"/>
      <c r="F76" s="390"/>
      <c r="G76" s="384">
        <f t="shared" si="5"/>
        <v>0</v>
      </c>
      <c r="H76" s="217"/>
      <c r="I76" s="217"/>
      <c r="J76" s="178"/>
      <c r="K76" s="178"/>
      <c r="L76" s="178"/>
      <c r="M76" s="178"/>
      <c r="N76" s="178"/>
      <c r="O76" s="179"/>
    </row>
    <row r="77" spans="1:20" ht="15.75" customHeight="1">
      <c r="A77" s="1937"/>
      <c r="B77" s="1934"/>
      <c r="C77" s="388">
        <v>2019</v>
      </c>
      <c r="D77" s="390"/>
      <c r="E77" s="390"/>
      <c r="F77" s="390"/>
      <c r="G77" s="384">
        <f t="shared" si="5"/>
        <v>0</v>
      </c>
      <c r="H77" s="217"/>
      <c r="I77" s="217"/>
      <c r="J77" s="178"/>
      <c r="K77" s="178"/>
      <c r="L77" s="178"/>
      <c r="M77" s="178"/>
      <c r="N77" s="178"/>
      <c r="O77" s="179"/>
    </row>
    <row r="78" spans="1:20" ht="17.25" customHeight="1">
      <c r="A78" s="1937"/>
      <c r="B78" s="1934"/>
      <c r="C78" s="388">
        <v>2020</v>
      </c>
      <c r="D78" s="390"/>
      <c r="E78" s="390"/>
      <c r="F78" s="390"/>
      <c r="G78" s="384">
        <f t="shared" si="5"/>
        <v>0</v>
      </c>
      <c r="H78" s="217"/>
      <c r="I78" s="217"/>
      <c r="J78" s="178"/>
      <c r="K78" s="178"/>
      <c r="L78" s="178"/>
      <c r="M78" s="178"/>
      <c r="N78" s="178"/>
      <c r="O78" s="179"/>
    </row>
    <row r="79" spans="1:20" ht="20.25" customHeight="1" thickBot="1">
      <c r="A79" s="1935"/>
      <c r="B79" s="1936"/>
      <c r="C79" s="391" t="s">
        <v>13</v>
      </c>
      <c r="D79" s="114">
        <f>SUM(D72:D78)</f>
        <v>41</v>
      </c>
      <c r="E79" s="114">
        <f>SUM(E72:E78)</f>
        <v>3</v>
      </c>
      <c r="F79" s="114">
        <f>SUM(F72:F78)</f>
        <v>0</v>
      </c>
      <c r="G79" s="392">
        <f>SUM(G72:G78)</f>
        <v>44</v>
      </c>
      <c r="H79" s="393">
        <f>SUM(H73:H78)</f>
        <v>13</v>
      </c>
      <c r="I79" s="221">
        <f t="shared" ref="I79:O79" si="6">SUM(I72:I78)</f>
        <v>0</v>
      </c>
      <c r="J79" s="181">
        <f t="shared" si="6"/>
        <v>10</v>
      </c>
      <c r="K79" s="181">
        <f t="shared" si="6"/>
        <v>16</v>
      </c>
      <c r="L79" s="181">
        <f t="shared" si="6"/>
        <v>3</v>
      </c>
      <c r="M79" s="181">
        <f t="shared" si="6"/>
        <v>0</v>
      </c>
      <c r="N79" s="181">
        <f t="shared" si="6"/>
        <v>0</v>
      </c>
      <c r="O79" s="182">
        <f t="shared" si="6"/>
        <v>2</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50.75" customHeight="1">
      <c r="A84" s="147" t="s">
        <v>56</v>
      </c>
      <c r="B84" s="394" t="s">
        <v>178</v>
      </c>
      <c r="C84" s="149" t="s">
        <v>9</v>
      </c>
      <c r="D84" s="150" t="s">
        <v>58</v>
      </c>
      <c r="E84" s="151" t="s">
        <v>59</v>
      </c>
      <c r="F84" s="152" t="s">
        <v>60</v>
      </c>
      <c r="G84" s="152" t="s">
        <v>61</v>
      </c>
      <c r="H84" s="152" t="s">
        <v>62</v>
      </c>
      <c r="I84" s="152" t="s">
        <v>63</v>
      </c>
      <c r="J84" s="152" t="s">
        <v>64</v>
      </c>
      <c r="K84" s="153" t="s">
        <v>65</v>
      </c>
    </row>
    <row r="85" spans="1:16" ht="15" customHeight="1">
      <c r="A85" s="1938"/>
      <c r="B85" s="1899"/>
      <c r="C85" s="72">
        <v>2014</v>
      </c>
      <c r="D85" s="154"/>
      <c r="E85" s="155"/>
      <c r="F85" s="31"/>
      <c r="G85" s="31"/>
      <c r="H85" s="31"/>
      <c r="I85" s="31"/>
      <c r="J85" s="31"/>
      <c r="K85" s="34"/>
    </row>
    <row r="86" spans="1:16">
      <c r="A86" s="1939"/>
      <c r="B86" s="1899"/>
      <c r="C86" s="73">
        <v>2015</v>
      </c>
      <c r="D86" s="156"/>
      <c r="E86" s="112"/>
      <c r="F86" s="38"/>
      <c r="G86" s="38"/>
      <c r="H86" s="38"/>
      <c r="I86" s="38"/>
      <c r="J86" s="38"/>
      <c r="K86" s="88"/>
    </row>
    <row r="87" spans="1:16">
      <c r="A87" s="1939"/>
      <c r="B87" s="1899"/>
      <c r="C87" s="73">
        <v>2016</v>
      </c>
      <c r="D87" s="156"/>
      <c r="E87" s="112"/>
      <c r="F87" s="38"/>
      <c r="G87" s="38"/>
      <c r="H87" s="38"/>
      <c r="I87" s="38"/>
      <c r="J87" s="38"/>
      <c r="K87" s="88"/>
    </row>
    <row r="88" spans="1:16">
      <c r="A88" s="1939"/>
      <c r="B88" s="1899"/>
      <c r="C88" s="73">
        <v>2017</v>
      </c>
      <c r="D88" s="156"/>
      <c r="E88" s="112"/>
      <c r="F88" s="38"/>
      <c r="G88" s="38"/>
      <c r="H88" s="38"/>
      <c r="I88" s="38"/>
      <c r="J88" s="38"/>
      <c r="K88" s="88"/>
    </row>
    <row r="89" spans="1:16">
      <c r="A89" s="1939"/>
      <c r="B89" s="1899"/>
      <c r="C89" s="73">
        <v>2018</v>
      </c>
      <c r="D89" s="156"/>
      <c r="E89" s="112"/>
      <c r="F89" s="38"/>
      <c r="G89" s="38"/>
      <c r="H89" s="38"/>
      <c r="I89" s="38"/>
      <c r="J89" s="38"/>
      <c r="K89" s="88"/>
    </row>
    <row r="90" spans="1:16">
      <c r="A90" s="1939"/>
      <c r="B90" s="1899"/>
      <c r="C90" s="73">
        <v>2019</v>
      </c>
      <c r="D90" s="156"/>
      <c r="E90" s="112"/>
      <c r="F90" s="38"/>
      <c r="G90" s="38"/>
      <c r="H90" s="38"/>
      <c r="I90" s="38"/>
      <c r="J90" s="38"/>
      <c r="K90" s="88"/>
    </row>
    <row r="91" spans="1:16">
      <c r="A91" s="1939"/>
      <c r="B91" s="1899"/>
      <c r="C91" s="73">
        <v>2020</v>
      </c>
      <c r="D91" s="156"/>
      <c r="E91" s="112"/>
      <c r="F91" s="38"/>
      <c r="G91" s="38"/>
      <c r="H91" s="38"/>
      <c r="I91" s="38"/>
      <c r="J91" s="38"/>
      <c r="K91" s="88"/>
    </row>
    <row r="92" spans="1:16" ht="18" customHeight="1" thickBot="1">
      <c r="A92" s="1940"/>
      <c r="B92" s="1900"/>
      <c r="C92" s="136" t="s">
        <v>13</v>
      </c>
      <c r="D92" s="157">
        <f t="shared" ref="D92:I92" si="7">SUM(D85:D91)</f>
        <v>0</v>
      </c>
      <c r="E92" s="115">
        <f t="shared" si="7"/>
        <v>0</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1909" t="s">
        <v>68</v>
      </c>
      <c r="B96" s="1911" t="s">
        <v>179</v>
      </c>
      <c r="C96" s="1924" t="s">
        <v>9</v>
      </c>
      <c r="D96" s="1916" t="s">
        <v>70</v>
      </c>
      <c r="E96" s="1917"/>
      <c r="F96" s="162" t="s">
        <v>71</v>
      </c>
      <c r="G96" s="163"/>
      <c r="H96" s="163"/>
      <c r="I96" s="163"/>
      <c r="J96" s="163"/>
      <c r="K96" s="163"/>
      <c r="L96" s="163"/>
      <c r="M96" s="164"/>
      <c r="N96" s="165"/>
      <c r="O96" s="165"/>
      <c r="P96" s="165"/>
    </row>
    <row r="97" spans="1:16" ht="100.5" customHeight="1">
      <c r="A97" s="1910"/>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1918" t="s">
        <v>180</v>
      </c>
      <c r="B98" s="1921"/>
      <c r="C98" s="106">
        <v>2014</v>
      </c>
      <c r="D98" s="30"/>
      <c r="E98" s="31"/>
      <c r="F98" s="174"/>
      <c r="G98" s="175"/>
      <c r="H98" s="175"/>
      <c r="I98" s="175"/>
      <c r="J98" s="175"/>
      <c r="K98" s="175"/>
      <c r="L98" s="175"/>
      <c r="M98" s="176"/>
      <c r="N98" s="165"/>
      <c r="O98" s="165"/>
      <c r="P98" s="165"/>
    </row>
    <row r="99" spans="1:16" ht="16.5" customHeight="1">
      <c r="A99" s="1919"/>
      <c r="B99" s="1922"/>
      <c r="C99" s="110">
        <v>2015</v>
      </c>
      <c r="D99" s="395">
        <v>1</v>
      </c>
      <c r="E99" s="339">
        <v>3</v>
      </c>
      <c r="F99" s="177"/>
      <c r="G99" s="178"/>
      <c r="H99" s="178"/>
      <c r="I99" s="178"/>
      <c r="J99" s="178"/>
      <c r="K99" s="178"/>
      <c r="L99" s="178"/>
      <c r="M99" s="396">
        <v>1</v>
      </c>
      <c r="N99" s="165"/>
      <c r="O99" s="165"/>
      <c r="P99" s="165"/>
    </row>
    <row r="100" spans="1:16" ht="16.5" customHeight="1">
      <c r="A100" s="1919"/>
      <c r="B100" s="1922"/>
      <c r="C100" s="110">
        <v>2016</v>
      </c>
      <c r="D100" s="336">
        <v>1</v>
      </c>
      <c r="E100" s="255">
        <v>9</v>
      </c>
      <c r="F100" s="177"/>
      <c r="G100" s="178"/>
      <c r="H100" s="178"/>
      <c r="I100" s="178"/>
      <c r="J100" s="178"/>
      <c r="K100" s="178"/>
      <c r="L100" s="178"/>
      <c r="M100" s="397">
        <v>1</v>
      </c>
      <c r="N100" s="165"/>
      <c r="O100" s="165"/>
      <c r="P100" s="165"/>
    </row>
    <row r="101" spans="1:16" ht="16.5" customHeight="1">
      <c r="A101" s="1919"/>
      <c r="B101" s="1922"/>
      <c r="C101" s="110">
        <v>2017</v>
      </c>
      <c r="D101" s="336">
        <v>1</v>
      </c>
      <c r="E101" s="255">
        <v>8</v>
      </c>
      <c r="F101" s="177"/>
      <c r="G101" s="178"/>
      <c r="H101" s="178"/>
      <c r="I101" s="178"/>
      <c r="J101" s="178"/>
      <c r="K101" s="178"/>
      <c r="L101" s="178"/>
      <c r="M101" s="179">
        <v>1</v>
      </c>
      <c r="N101" s="165"/>
      <c r="O101" s="165"/>
      <c r="P101" s="165"/>
    </row>
    <row r="102" spans="1:16" ht="15.75" customHeight="1">
      <c r="A102" s="1919"/>
      <c r="B102" s="1922"/>
      <c r="C102" s="110">
        <v>2018</v>
      </c>
      <c r="D102" s="217"/>
      <c r="E102" s="178"/>
      <c r="F102" s="177"/>
      <c r="G102" s="178"/>
      <c r="H102" s="178"/>
      <c r="I102" s="178"/>
      <c r="J102" s="178"/>
      <c r="K102" s="178"/>
      <c r="L102" s="178"/>
      <c r="M102" s="179"/>
      <c r="N102" s="165"/>
      <c r="O102" s="165"/>
      <c r="P102" s="165"/>
    </row>
    <row r="103" spans="1:16" ht="14.25" customHeight="1">
      <c r="A103" s="1919"/>
      <c r="B103" s="1922"/>
      <c r="C103" s="110">
        <v>2019</v>
      </c>
      <c r="D103" s="217"/>
      <c r="E103" s="178"/>
      <c r="F103" s="177"/>
      <c r="G103" s="178"/>
      <c r="H103" s="178"/>
      <c r="I103" s="178"/>
      <c r="J103" s="178"/>
      <c r="K103" s="178"/>
      <c r="L103" s="178"/>
      <c r="M103" s="179"/>
      <c r="N103" s="165"/>
      <c r="O103" s="165"/>
      <c r="P103" s="165"/>
    </row>
    <row r="104" spans="1:16" ht="14.25" customHeight="1">
      <c r="A104" s="1919"/>
      <c r="B104" s="1922"/>
      <c r="C104" s="110">
        <v>2020</v>
      </c>
      <c r="D104" s="37"/>
      <c r="E104" s="38"/>
      <c r="F104" s="177"/>
      <c r="G104" s="178"/>
      <c r="H104" s="178"/>
      <c r="I104" s="178"/>
      <c r="J104" s="178"/>
      <c r="K104" s="178"/>
      <c r="L104" s="178"/>
      <c r="M104" s="179"/>
      <c r="N104" s="165"/>
      <c r="O104" s="165"/>
      <c r="P104" s="165"/>
    </row>
    <row r="105" spans="1:16" ht="19.5" customHeight="1" thickBot="1">
      <c r="A105" s="1920"/>
      <c r="B105" s="1923"/>
      <c r="C105" s="113" t="s">
        <v>13</v>
      </c>
      <c r="D105" s="139">
        <f>SUM(D98:D104)</f>
        <v>3</v>
      </c>
      <c r="E105" s="116">
        <f t="shared" ref="E105:K105" si="8">SUM(E98:E104)</f>
        <v>20</v>
      </c>
      <c r="F105" s="180">
        <f t="shared" si="8"/>
        <v>0</v>
      </c>
      <c r="G105" s="181">
        <f t="shared" si="8"/>
        <v>0</v>
      </c>
      <c r="H105" s="181">
        <f t="shared" si="8"/>
        <v>0</v>
      </c>
      <c r="I105" s="181">
        <f>SUM(I98:I104)</f>
        <v>0</v>
      </c>
      <c r="J105" s="181">
        <f t="shared" si="8"/>
        <v>0</v>
      </c>
      <c r="K105" s="181">
        <f t="shared" si="8"/>
        <v>0</v>
      </c>
      <c r="L105" s="181">
        <f>SUM(L98:L104)</f>
        <v>0</v>
      </c>
      <c r="M105" s="182">
        <f>SUM(M98:M104)</f>
        <v>3</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1909" t="s">
        <v>77</v>
      </c>
      <c r="B107" s="1911" t="s">
        <v>179</v>
      </c>
      <c r="C107" s="1924" t="s">
        <v>9</v>
      </c>
      <c r="D107" s="1926" t="s">
        <v>78</v>
      </c>
      <c r="E107" s="162" t="s">
        <v>79</v>
      </c>
      <c r="F107" s="163"/>
      <c r="G107" s="163"/>
      <c r="H107" s="163"/>
      <c r="I107" s="163"/>
      <c r="J107" s="163"/>
      <c r="K107" s="163"/>
      <c r="L107" s="164"/>
      <c r="M107" s="185"/>
      <c r="N107" s="185"/>
    </row>
    <row r="108" spans="1:16" ht="103.5"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1928"/>
      <c r="B109" s="1929"/>
      <c r="C109" s="106">
        <v>2014</v>
      </c>
      <c r="D109" s="31"/>
      <c r="E109" s="174"/>
      <c r="F109" s="175"/>
      <c r="G109" s="175"/>
      <c r="H109" s="175"/>
      <c r="I109" s="175"/>
      <c r="J109" s="175"/>
      <c r="K109" s="175"/>
      <c r="L109" s="176"/>
      <c r="M109" s="185"/>
      <c r="N109" s="185"/>
    </row>
    <row r="110" spans="1:16">
      <c r="A110" s="1930"/>
      <c r="B110" s="1929"/>
      <c r="C110" s="110">
        <v>2015</v>
      </c>
      <c r="D110" s="38"/>
      <c r="E110" s="177"/>
      <c r="F110" s="178"/>
      <c r="G110" s="178"/>
      <c r="H110" s="178"/>
      <c r="I110" s="178"/>
      <c r="J110" s="178"/>
      <c r="K110" s="178"/>
      <c r="L110" s="179"/>
      <c r="M110" s="185"/>
      <c r="N110" s="185"/>
    </row>
    <row r="111" spans="1:16">
      <c r="A111" s="1930"/>
      <c r="B111" s="1929"/>
      <c r="C111" s="110">
        <v>2016</v>
      </c>
      <c r="D111" s="38"/>
      <c r="E111" s="177"/>
      <c r="F111" s="178"/>
      <c r="G111" s="178"/>
      <c r="H111" s="178"/>
      <c r="I111" s="178"/>
      <c r="J111" s="178"/>
      <c r="K111" s="178"/>
      <c r="L111" s="179"/>
      <c r="M111" s="185"/>
      <c r="N111" s="185"/>
    </row>
    <row r="112" spans="1:16">
      <c r="A112" s="1930"/>
      <c r="B112" s="1929"/>
      <c r="C112" s="110">
        <v>2017</v>
      </c>
      <c r="D112" s="38"/>
      <c r="E112" s="177"/>
      <c r="F112" s="178"/>
      <c r="G112" s="178"/>
      <c r="H112" s="178"/>
      <c r="I112" s="178"/>
      <c r="J112" s="178"/>
      <c r="K112" s="178"/>
      <c r="L112" s="179"/>
      <c r="M112" s="185"/>
      <c r="N112" s="185"/>
    </row>
    <row r="113" spans="1:14">
      <c r="A113" s="1930"/>
      <c r="B113" s="1929"/>
      <c r="C113" s="110">
        <v>2018</v>
      </c>
      <c r="D113" s="38"/>
      <c r="E113" s="177"/>
      <c r="F113" s="178"/>
      <c r="G113" s="178"/>
      <c r="H113" s="178"/>
      <c r="I113" s="178"/>
      <c r="J113" s="178"/>
      <c r="K113" s="178"/>
      <c r="L113" s="179"/>
      <c r="M113" s="185"/>
      <c r="N113" s="185"/>
    </row>
    <row r="114" spans="1:14">
      <c r="A114" s="1930"/>
      <c r="B114" s="1929"/>
      <c r="C114" s="110">
        <v>2019</v>
      </c>
      <c r="D114" s="38"/>
      <c r="E114" s="177"/>
      <c r="F114" s="178"/>
      <c r="G114" s="178"/>
      <c r="H114" s="178"/>
      <c r="I114" s="178"/>
      <c r="J114" s="178"/>
      <c r="K114" s="178"/>
      <c r="L114" s="179"/>
      <c r="M114" s="185"/>
      <c r="N114" s="185"/>
    </row>
    <row r="115" spans="1:14">
      <c r="A115" s="1930"/>
      <c r="B115" s="1929"/>
      <c r="C115" s="110">
        <v>2020</v>
      </c>
      <c r="D115" s="38"/>
      <c r="E115" s="177"/>
      <c r="F115" s="178"/>
      <c r="G115" s="178"/>
      <c r="H115" s="178"/>
      <c r="I115" s="178"/>
      <c r="J115" s="178"/>
      <c r="K115" s="178"/>
      <c r="L115" s="179"/>
      <c r="M115" s="185"/>
      <c r="N115" s="185"/>
    </row>
    <row r="116" spans="1:14" ht="25.5" customHeight="1" thickBot="1">
      <c r="A116" s="1931"/>
      <c r="B116" s="1932"/>
      <c r="C116" s="113" t="s">
        <v>13</v>
      </c>
      <c r="D116" s="116">
        <f t="shared" ref="D116:I116" si="9">SUM(D109:D115)</f>
        <v>0</v>
      </c>
      <c r="E116" s="180">
        <f t="shared" si="9"/>
        <v>0</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1909" t="s">
        <v>81</v>
      </c>
      <c r="B118" s="1911" t="s">
        <v>179</v>
      </c>
      <c r="C118" s="1924" t="s">
        <v>9</v>
      </c>
      <c r="D118" s="1926" t="s">
        <v>82</v>
      </c>
      <c r="E118" s="162" t="s">
        <v>79</v>
      </c>
      <c r="F118" s="163"/>
      <c r="G118" s="163"/>
      <c r="H118" s="163"/>
      <c r="I118" s="163"/>
      <c r="J118" s="163"/>
      <c r="K118" s="163"/>
      <c r="L118" s="164"/>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1898"/>
      <c r="B120" s="1899"/>
      <c r="C120" s="106">
        <v>2014</v>
      </c>
      <c r="D120" s="31"/>
      <c r="E120" s="174"/>
      <c r="F120" s="175"/>
      <c r="G120" s="175"/>
      <c r="H120" s="175"/>
      <c r="I120" s="175"/>
      <c r="J120" s="175"/>
      <c r="K120" s="175"/>
      <c r="L120" s="176"/>
      <c r="M120" s="185"/>
      <c r="N120" s="185"/>
    </row>
    <row r="121" spans="1:14">
      <c r="A121" s="1891"/>
      <c r="B121" s="1899"/>
      <c r="C121" s="110">
        <v>2015</v>
      </c>
      <c r="D121" s="38"/>
      <c r="E121" s="177"/>
      <c r="F121" s="178"/>
      <c r="G121" s="178"/>
      <c r="H121" s="178"/>
      <c r="I121" s="178"/>
      <c r="J121" s="178"/>
      <c r="K121" s="178"/>
      <c r="L121" s="179"/>
      <c r="M121" s="185"/>
      <c r="N121" s="185"/>
    </row>
    <row r="122" spans="1:14">
      <c r="A122" s="1891"/>
      <c r="B122" s="1899"/>
      <c r="C122" s="110">
        <v>2016</v>
      </c>
      <c r="D122" s="38"/>
      <c r="E122" s="177"/>
      <c r="F122" s="178"/>
      <c r="G122" s="178"/>
      <c r="H122" s="178"/>
      <c r="I122" s="178"/>
      <c r="J122" s="178"/>
      <c r="K122" s="178"/>
      <c r="L122" s="179"/>
      <c r="M122" s="185"/>
      <c r="N122" s="185"/>
    </row>
    <row r="123" spans="1:14">
      <c r="A123" s="1891"/>
      <c r="B123" s="1899"/>
      <c r="C123" s="110">
        <v>2017</v>
      </c>
      <c r="D123" s="38"/>
      <c r="E123" s="177"/>
      <c r="F123" s="178"/>
      <c r="G123" s="178"/>
      <c r="H123" s="178"/>
      <c r="I123" s="178"/>
      <c r="J123" s="178"/>
      <c r="K123" s="178"/>
      <c r="L123" s="179"/>
      <c r="M123" s="185"/>
      <c r="N123" s="185"/>
    </row>
    <row r="124" spans="1:14">
      <c r="A124" s="1891"/>
      <c r="B124" s="1899"/>
      <c r="C124" s="110">
        <v>2018</v>
      </c>
      <c r="D124" s="38"/>
      <c r="E124" s="177"/>
      <c r="F124" s="178"/>
      <c r="G124" s="178"/>
      <c r="H124" s="178"/>
      <c r="I124" s="178"/>
      <c r="J124" s="178"/>
      <c r="K124" s="178"/>
      <c r="L124" s="179"/>
      <c r="M124" s="185"/>
      <c r="N124" s="185"/>
    </row>
    <row r="125" spans="1:14">
      <c r="A125" s="1891"/>
      <c r="B125" s="1899"/>
      <c r="C125" s="110">
        <v>2019</v>
      </c>
      <c r="D125" s="38"/>
      <c r="E125" s="177"/>
      <c r="F125" s="178"/>
      <c r="G125" s="178"/>
      <c r="H125" s="178"/>
      <c r="I125" s="178"/>
      <c r="J125" s="178"/>
      <c r="K125" s="178"/>
      <c r="L125" s="179"/>
      <c r="M125" s="185"/>
      <c r="N125" s="185"/>
    </row>
    <row r="126" spans="1:14">
      <c r="A126" s="1891"/>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1909" t="s">
        <v>84</v>
      </c>
      <c r="B129" s="1911" t="s">
        <v>179</v>
      </c>
      <c r="C129" s="188" t="s">
        <v>9</v>
      </c>
      <c r="D129" s="189" t="s">
        <v>85</v>
      </c>
      <c r="E129" s="190"/>
      <c r="F129" s="190"/>
      <c r="G129" s="191"/>
      <c r="H129" s="185"/>
      <c r="I129" s="185"/>
      <c r="J129" s="185"/>
      <c r="K129" s="185"/>
      <c r="L129" s="185"/>
      <c r="M129" s="185"/>
      <c r="N129" s="185"/>
    </row>
    <row r="130" spans="1:16" ht="77.25" customHeight="1">
      <c r="A130" s="1910"/>
      <c r="B130" s="1912"/>
      <c r="C130" s="192"/>
      <c r="D130" s="166" t="s">
        <v>86</v>
      </c>
      <c r="E130" s="398" t="s">
        <v>87</v>
      </c>
      <c r="F130" s="167" t="s">
        <v>88</v>
      </c>
      <c r="G130" s="194" t="s">
        <v>13</v>
      </c>
      <c r="H130" s="185"/>
      <c r="I130" s="185"/>
      <c r="J130" s="185"/>
      <c r="K130" s="185"/>
      <c r="L130" s="185"/>
      <c r="M130" s="185"/>
      <c r="N130" s="185"/>
    </row>
    <row r="131" spans="1:16" ht="15" customHeight="1">
      <c r="A131" s="1874"/>
      <c r="B131" s="1855"/>
      <c r="C131" s="399">
        <v>2015</v>
      </c>
      <c r="D131" s="400">
        <v>21</v>
      </c>
      <c r="E131" s="401"/>
      <c r="F131" s="401"/>
      <c r="G131" s="402">
        <f t="shared" ref="G131:G136" si="11">SUM(D131:F131)</f>
        <v>21</v>
      </c>
      <c r="H131" s="185"/>
      <c r="I131" s="185"/>
      <c r="J131" s="185"/>
      <c r="K131" s="185"/>
      <c r="L131" s="185"/>
      <c r="M131" s="185"/>
      <c r="N131" s="185"/>
    </row>
    <row r="132" spans="1:16">
      <c r="A132" s="1854"/>
      <c r="B132" s="1855"/>
      <c r="C132" s="403">
        <v>2016</v>
      </c>
      <c r="D132" s="363">
        <f>9*13</f>
        <v>117</v>
      </c>
      <c r="E132" s="378"/>
      <c r="F132" s="378"/>
      <c r="G132" s="402">
        <f>SUM(D132:F132)</f>
        <v>117</v>
      </c>
      <c r="H132" s="185"/>
      <c r="I132" s="185"/>
      <c r="J132" s="185"/>
      <c r="K132" s="185"/>
      <c r="L132" s="185"/>
      <c r="M132" s="185"/>
      <c r="N132" s="185"/>
    </row>
    <row r="133" spans="1:16">
      <c r="A133" s="1854"/>
      <c r="B133" s="1855"/>
      <c r="C133" s="403">
        <v>2017</v>
      </c>
      <c r="D133" s="404">
        <f>8*13</f>
        <v>104</v>
      </c>
      <c r="E133" s="378"/>
      <c r="F133" s="378"/>
      <c r="G133" s="402">
        <f t="shared" si="11"/>
        <v>104</v>
      </c>
      <c r="H133" s="185"/>
      <c r="I133" s="185"/>
      <c r="J133" s="185"/>
      <c r="K133" s="185"/>
      <c r="L133" s="185"/>
      <c r="M133" s="185"/>
      <c r="N133" s="185"/>
    </row>
    <row r="134" spans="1:16">
      <c r="A134" s="1854"/>
      <c r="B134" s="1855"/>
      <c r="C134" s="110">
        <v>2018</v>
      </c>
      <c r="D134" s="37"/>
      <c r="E134" s="38"/>
      <c r="F134" s="38"/>
      <c r="G134" s="195">
        <f t="shared" si="11"/>
        <v>0</v>
      </c>
      <c r="H134" s="185"/>
      <c r="I134" s="185"/>
      <c r="J134" s="185"/>
      <c r="K134" s="185"/>
      <c r="L134" s="185"/>
      <c r="M134" s="185"/>
      <c r="N134" s="185"/>
    </row>
    <row r="135" spans="1:16">
      <c r="A135" s="1854"/>
      <c r="B135" s="1855"/>
      <c r="C135" s="110">
        <v>2019</v>
      </c>
      <c r="D135" s="37"/>
      <c r="E135" s="38"/>
      <c r="F135" s="38"/>
      <c r="G135" s="195">
        <f t="shared" si="11"/>
        <v>0</v>
      </c>
      <c r="H135" s="185"/>
      <c r="I135" s="185"/>
      <c r="J135" s="185"/>
      <c r="K135" s="185"/>
      <c r="L135" s="185"/>
      <c r="M135" s="185"/>
      <c r="N135" s="185"/>
    </row>
    <row r="136" spans="1:16">
      <c r="A136" s="1854"/>
      <c r="B136" s="1855"/>
      <c r="C136" s="110">
        <v>2020</v>
      </c>
      <c r="D136" s="37"/>
      <c r="E136" s="38"/>
      <c r="F136" s="38"/>
      <c r="G136" s="195">
        <f t="shared" si="11"/>
        <v>0</v>
      </c>
      <c r="H136" s="185"/>
      <c r="I136" s="185"/>
      <c r="J136" s="185"/>
      <c r="K136" s="185"/>
      <c r="L136" s="185"/>
      <c r="M136" s="185"/>
      <c r="N136" s="185"/>
    </row>
    <row r="137" spans="1:16" ht="17.25" customHeight="1" thickBot="1">
      <c r="A137" s="1856"/>
      <c r="B137" s="1857"/>
      <c r="C137" s="113" t="s">
        <v>13</v>
      </c>
      <c r="D137" s="139">
        <f>SUM(D131:D136)</f>
        <v>242</v>
      </c>
      <c r="E137" s="139">
        <f t="shared" ref="E137:F137" si="12">SUM(E131:E136)</f>
        <v>0</v>
      </c>
      <c r="F137" s="139">
        <f t="shared" si="12"/>
        <v>0</v>
      </c>
      <c r="G137" s="196">
        <f>SUM(G131:G136)</f>
        <v>242</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1913" t="s">
        <v>91</v>
      </c>
      <c r="B142" s="1903" t="s">
        <v>179</v>
      </c>
      <c r="C142" s="1907" t="s">
        <v>9</v>
      </c>
      <c r="D142" s="203" t="s">
        <v>92</v>
      </c>
      <c r="E142" s="204"/>
      <c r="F142" s="204"/>
      <c r="G142" s="204"/>
      <c r="H142" s="204"/>
      <c r="I142" s="205"/>
      <c r="J142" s="1895" t="s">
        <v>93</v>
      </c>
      <c r="K142" s="1896"/>
      <c r="L142" s="1896"/>
      <c r="M142" s="1896"/>
      <c r="N142" s="1897"/>
      <c r="O142" s="165"/>
      <c r="P142" s="165"/>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c r="B144" s="1899"/>
      <c r="C144" s="106">
        <v>2014</v>
      </c>
      <c r="D144" s="30"/>
      <c r="E144" s="30"/>
      <c r="F144" s="31"/>
      <c r="G144" s="175"/>
      <c r="H144" s="175"/>
      <c r="I144" s="213">
        <f>D144+F144+G144+H144</f>
        <v>0</v>
      </c>
      <c r="J144" s="214"/>
      <c r="K144" s="215"/>
      <c r="L144" s="214"/>
      <c r="M144" s="215"/>
      <c r="N144" s="216"/>
      <c r="O144" s="165"/>
      <c r="P144" s="165"/>
    </row>
    <row r="145" spans="1:16" ht="19.5" customHeight="1">
      <c r="A145" s="1891"/>
      <c r="B145" s="1899"/>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1891"/>
      <c r="B146" s="1899"/>
      <c r="C146" s="110">
        <v>2016</v>
      </c>
      <c r="D146" s="37"/>
      <c r="E146" s="37"/>
      <c r="F146" s="38"/>
      <c r="G146" s="178"/>
      <c r="H146" s="178"/>
      <c r="I146" s="213">
        <f t="shared" si="13"/>
        <v>0</v>
      </c>
      <c r="J146" s="217"/>
      <c r="K146" s="218"/>
      <c r="L146" s="217"/>
      <c r="M146" s="218"/>
      <c r="N146" s="219"/>
      <c r="O146" s="165"/>
      <c r="P146" s="165"/>
    </row>
    <row r="147" spans="1:16" ht="17.25" customHeight="1">
      <c r="A147" s="1891"/>
      <c r="B147" s="1899"/>
      <c r="C147" s="110">
        <v>2017</v>
      </c>
      <c r="D147" s="37"/>
      <c r="E147" s="37"/>
      <c r="F147" s="38"/>
      <c r="G147" s="178"/>
      <c r="H147" s="178"/>
      <c r="I147" s="213">
        <f t="shared" si="13"/>
        <v>0</v>
      </c>
      <c r="J147" s="217"/>
      <c r="K147" s="218"/>
      <c r="L147" s="217"/>
      <c r="M147" s="218"/>
      <c r="N147" s="219"/>
      <c r="O147" s="165"/>
      <c r="P147" s="165"/>
    </row>
    <row r="148" spans="1:16" ht="19.5" customHeight="1">
      <c r="A148" s="1891"/>
      <c r="B148" s="1899"/>
      <c r="C148" s="110">
        <v>2018</v>
      </c>
      <c r="D148" s="37"/>
      <c r="E148" s="37"/>
      <c r="F148" s="38"/>
      <c r="G148" s="178"/>
      <c r="H148" s="178"/>
      <c r="I148" s="213">
        <f t="shared" si="13"/>
        <v>0</v>
      </c>
      <c r="J148" s="217"/>
      <c r="K148" s="218"/>
      <c r="L148" s="217"/>
      <c r="M148" s="218"/>
      <c r="N148" s="219"/>
      <c r="O148" s="165"/>
      <c r="P148" s="165"/>
    </row>
    <row r="149" spans="1:16" ht="19.5" customHeight="1">
      <c r="A149" s="1891"/>
      <c r="B149" s="1899"/>
      <c r="C149" s="110">
        <v>2019</v>
      </c>
      <c r="D149" s="37"/>
      <c r="E149" s="37"/>
      <c r="F149" s="38"/>
      <c r="G149" s="178"/>
      <c r="H149" s="178"/>
      <c r="I149" s="213">
        <f t="shared" si="13"/>
        <v>0</v>
      </c>
      <c r="J149" s="217"/>
      <c r="K149" s="218"/>
      <c r="L149" s="217"/>
      <c r="M149" s="218"/>
      <c r="N149" s="219"/>
      <c r="O149" s="165"/>
      <c r="P149" s="165"/>
    </row>
    <row r="150" spans="1:16" ht="18.75" customHeight="1">
      <c r="A150" s="1891"/>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57.75" customHeight="1">
      <c r="A153" s="1901" t="s">
        <v>105</v>
      </c>
      <c r="B153" s="1903" t="s">
        <v>179</v>
      </c>
      <c r="C153" s="1905" t="s">
        <v>9</v>
      </c>
      <c r="D153" s="225" t="s">
        <v>106</v>
      </c>
      <c r="E153" s="225"/>
      <c r="F153" s="226"/>
      <c r="G153" s="226"/>
      <c r="H153" s="225" t="s">
        <v>107</v>
      </c>
      <c r="I153" s="225"/>
      <c r="J153" s="227"/>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1898"/>
      <c r="B155" s="1899"/>
      <c r="C155" s="233">
        <v>2014</v>
      </c>
      <c r="D155" s="214"/>
      <c r="E155" s="175"/>
      <c r="F155" s="215"/>
      <c r="G155" s="213">
        <f>SUM(D155:F155)</f>
        <v>0</v>
      </c>
      <c r="H155" s="214"/>
      <c r="I155" s="175"/>
      <c r="J155" s="176"/>
      <c r="O155" s="165"/>
      <c r="P155" s="165"/>
    </row>
    <row r="156" spans="1:16" ht="19.5" customHeight="1">
      <c r="A156" s="1891"/>
      <c r="B156" s="1899"/>
      <c r="C156" s="234">
        <v>2015</v>
      </c>
      <c r="D156" s="217"/>
      <c r="E156" s="178"/>
      <c r="F156" s="218"/>
      <c r="G156" s="213">
        <f t="shared" ref="G156:G161" si="15">SUM(D156:F156)</f>
        <v>0</v>
      </c>
      <c r="H156" s="217"/>
      <c r="I156" s="178"/>
      <c r="J156" s="179"/>
      <c r="O156" s="165"/>
      <c r="P156" s="165"/>
    </row>
    <row r="157" spans="1:16" ht="17.25" customHeight="1">
      <c r="A157" s="1891"/>
      <c r="B157" s="1899"/>
      <c r="C157" s="234">
        <v>2016</v>
      </c>
      <c r="D157" s="217"/>
      <c r="E157" s="178"/>
      <c r="F157" s="218"/>
      <c r="G157" s="213">
        <f t="shared" si="15"/>
        <v>0</v>
      </c>
      <c r="H157" s="217"/>
      <c r="I157" s="178"/>
      <c r="J157" s="179"/>
      <c r="O157" s="165"/>
      <c r="P157" s="165"/>
    </row>
    <row r="158" spans="1:16" ht="15" customHeight="1">
      <c r="A158" s="1891"/>
      <c r="B158" s="1899"/>
      <c r="C158" s="234">
        <v>2017</v>
      </c>
      <c r="D158" s="217"/>
      <c r="E158" s="178"/>
      <c r="F158" s="218"/>
      <c r="G158" s="213">
        <f t="shared" si="15"/>
        <v>0</v>
      </c>
      <c r="H158" s="217"/>
      <c r="I158" s="178"/>
      <c r="J158" s="179"/>
      <c r="O158" s="165"/>
      <c r="P158" s="165"/>
    </row>
    <row r="159" spans="1:16" ht="19.5" customHeight="1">
      <c r="A159" s="1891"/>
      <c r="B159" s="1899"/>
      <c r="C159" s="234">
        <v>2018</v>
      </c>
      <c r="D159" s="217"/>
      <c r="E159" s="178"/>
      <c r="F159" s="218"/>
      <c r="G159" s="213">
        <f t="shared" si="15"/>
        <v>0</v>
      </c>
      <c r="H159" s="217"/>
      <c r="I159" s="178"/>
      <c r="J159" s="179"/>
      <c r="O159" s="165"/>
      <c r="P159" s="165"/>
    </row>
    <row r="160" spans="1:16" ht="15" customHeight="1">
      <c r="A160" s="1891"/>
      <c r="B160" s="1899"/>
      <c r="C160" s="234">
        <v>2019</v>
      </c>
      <c r="D160" s="217"/>
      <c r="E160" s="178"/>
      <c r="F160" s="218"/>
      <c r="G160" s="213">
        <f t="shared" si="15"/>
        <v>0</v>
      </c>
      <c r="H160" s="217"/>
      <c r="I160" s="178"/>
      <c r="J160" s="179"/>
      <c r="O160" s="165"/>
      <c r="P160" s="165"/>
    </row>
    <row r="161" spans="1:18" ht="17.25" customHeight="1">
      <c r="A161" s="1891"/>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240"/>
      <c r="F163" s="165"/>
      <c r="G163" s="165"/>
      <c r="H163" s="165"/>
      <c r="I163" s="165"/>
      <c r="J163" s="241"/>
      <c r="K163" s="242"/>
    </row>
    <row r="164" spans="1:18" ht="95.25" customHeight="1">
      <c r="A164" s="243" t="s">
        <v>115</v>
      </c>
      <c r="B164" s="405" t="s">
        <v>181</v>
      </c>
      <c r="C164" s="245" t="s">
        <v>9</v>
      </c>
      <c r="D164" s="246" t="s">
        <v>117</v>
      </c>
      <c r="E164" s="246" t="s">
        <v>118</v>
      </c>
      <c r="F164" s="247" t="s">
        <v>119</v>
      </c>
      <c r="G164" s="246" t="s">
        <v>120</v>
      </c>
      <c r="H164" s="246" t="s">
        <v>121</v>
      </c>
      <c r="I164" s="248" t="s">
        <v>122</v>
      </c>
      <c r="J164" s="249" t="s">
        <v>123</v>
      </c>
      <c r="K164" s="249" t="s">
        <v>124</v>
      </c>
      <c r="L164" s="406"/>
    </row>
    <row r="165" spans="1:18" ht="15.75" customHeight="1">
      <c r="A165" s="1878"/>
      <c r="B165" s="1879"/>
      <c r="C165" s="251">
        <v>2014</v>
      </c>
      <c r="D165" s="175"/>
      <c r="E165" s="175"/>
      <c r="F165" s="175"/>
      <c r="G165" s="175"/>
      <c r="H165" s="175"/>
      <c r="I165" s="176"/>
      <c r="J165" s="252">
        <f>SUM(D165,F165,H165)</f>
        <v>0</v>
      </c>
      <c r="K165" s="253">
        <f>SUM(E165,G165,I165)</f>
        <v>0</v>
      </c>
      <c r="L165" s="406"/>
    </row>
    <row r="166" spans="1:18">
      <c r="A166" s="1880"/>
      <c r="B166" s="1881"/>
      <c r="C166" s="254">
        <v>2015</v>
      </c>
      <c r="D166" s="255"/>
      <c r="E166" s="255"/>
      <c r="F166" s="255"/>
      <c r="G166" s="255"/>
      <c r="H166" s="255"/>
      <c r="I166" s="256"/>
      <c r="J166" s="407">
        <f t="shared" ref="J166:K171" si="17">SUM(D166,F166,H166)</f>
        <v>0</v>
      </c>
      <c r="K166" s="408">
        <f t="shared" si="17"/>
        <v>0</v>
      </c>
      <c r="L166" s="406"/>
    </row>
    <row r="167" spans="1:18">
      <c r="A167" s="1880"/>
      <c r="B167" s="1881"/>
      <c r="C167" s="254">
        <v>2016</v>
      </c>
      <c r="D167" s="255"/>
      <c r="E167" s="255"/>
      <c r="F167" s="255"/>
      <c r="G167" s="255"/>
      <c r="H167" s="255"/>
      <c r="I167" s="256"/>
      <c r="J167" s="407">
        <f t="shared" si="17"/>
        <v>0</v>
      </c>
      <c r="K167" s="408">
        <f t="shared" si="17"/>
        <v>0</v>
      </c>
    </row>
    <row r="168" spans="1:18">
      <c r="A168" s="1880"/>
      <c r="B168" s="1881"/>
      <c r="C168" s="254">
        <v>2017</v>
      </c>
      <c r="D168" s="255"/>
      <c r="E168" s="165"/>
      <c r="F168" s="255"/>
      <c r="G168" s="255"/>
      <c r="H168" s="255"/>
      <c r="I168" s="256"/>
      <c r="J168" s="407">
        <f t="shared" si="17"/>
        <v>0</v>
      </c>
      <c r="K168" s="408">
        <f t="shared" si="17"/>
        <v>0</v>
      </c>
    </row>
    <row r="169" spans="1:18">
      <c r="A169" s="1880"/>
      <c r="B169" s="1881"/>
      <c r="C169" s="262">
        <v>2018</v>
      </c>
      <c r="D169" s="255"/>
      <c r="E169" s="255"/>
      <c r="F169" s="255"/>
      <c r="G169" s="263"/>
      <c r="H169" s="255"/>
      <c r="I169" s="256"/>
      <c r="J169" s="407">
        <f t="shared" si="17"/>
        <v>0</v>
      </c>
      <c r="K169" s="408">
        <f t="shared" si="17"/>
        <v>0</v>
      </c>
      <c r="L169" s="406"/>
    </row>
    <row r="170" spans="1:18">
      <c r="A170" s="1880"/>
      <c r="B170" s="1881"/>
      <c r="C170" s="254">
        <v>2019</v>
      </c>
      <c r="D170" s="165"/>
      <c r="E170" s="255"/>
      <c r="F170" s="255"/>
      <c r="G170" s="255"/>
      <c r="H170" s="263"/>
      <c r="I170" s="256"/>
      <c r="J170" s="407">
        <f t="shared" si="17"/>
        <v>0</v>
      </c>
      <c r="K170" s="408">
        <f t="shared" si="17"/>
        <v>0</v>
      </c>
      <c r="L170" s="406"/>
    </row>
    <row r="171" spans="1:18">
      <c r="A171" s="1880"/>
      <c r="B171" s="1881"/>
      <c r="C171" s="262">
        <v>2020</v>
      </c>
      <c r="D171" s="255"/>
      <c r="E171" s="255"/>
      <c r="F171" s="255"/>
      <c r="G171" s="255"/>
      <c r="H171" s="255"/>
      <c r="I171" s="256"/>
      <c r="J171" s="407">
        <f t="shared" si="17"/>
        <v>0</v>
      </c>
      <c r="K171" s="408">
        <f t="shared" si="17"/>
        <v>0</v>
      </c>
      <c r="L171" s="406"/>
    </row>
    <row r="172" spans="1:18" ht="41.25" customHeight="1" thickBot="1">
      <c r="A172" s="1882"/>
      <c r="B172" s="1883"/>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406"/>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1884" t="s">
        <v>127</v>
      </c>
      <c r="B176" s="1863" t="s">
        <v>182</v>
      </c>
      <c r="C176" s="1886" t="s">
        <v>9</v>
      </c>
      <c r="D176" s="273" t="s">
        <v>128</v>
      </c>
      <c r="E176" s="274"/>
      <c r="F176" s="274"/>
      <c r="G176" s="275"/>
      <c r="H176" s="276"/>
      <c r="I176" s="1888" t="s">
        <v>129</v>
      </c>
      <c r="J176" s="1889"/>
      <c r="K176" s="1889"/>
      <c r="L176" s="1889"/>
      <c r="M176" s="1889"/>
      <c r="N176" s="1889"/>
      <c r="O176" s="1890"/>
    </row>
    <row r="177" spans="1:15" s="56" customFormat="1" ht="129.7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1891" t="s">
        <v>183</v>
      </c>
      <c r="B178" s="1892"/>
      <c r="C178" s="106">
        <v>2014</v>
      </c>
      <c r="D178" s="30"/>
      <c r="E178" s="31"/>
      <c r="F178" s="31"/>
      <c r="G178" s="284">
        <f>SUM(D178:F178)</f>
        <v>0</v>
      </c>
      <c r="H178" s="155"/>
      <c r="I178" s="155"/>
      <c r="J178" s="31"/>
      <c r="K178" s="31"/>
      <c r="L178" s="31"/>
      <c r="M178" s="31"/>
      <c r="N178" s="31"/>
      <c r="O178" s="34"/>
    </row>
    <row r="179" spans="1:15">
      <c r="A179" s="1891"/>
      <c r="B179" s="1892"/>
      <c r="C179" s="110">
        <v>2015</v>
      </c>
      <c r="D179" s="395">
        <v>3</v>
      </c>
      <c r="E179" s="38"/>
      <c r="F179" s="38"/>
      <c r="G179" s="284">
        <f t="shared" ref="G179:G184" si="19">SUM(D179:F179)</f>
        <v>3</v>
      </c>
      <c r="H179" s="411">
        <v>3</v>
      </c>
      <c r="I179" s="112"/>
      <c r="J179" s="38"/>
      <c r="K179" s="38"/>
      <c r="L179" s="339">
        <v>2</v>
      </c>
      <c r="M179" s="339">
        <v>1</v>
      </c>
      <c r="N179" s="38"/>
      <c r="O179" s="88"/>
    </row>
    <row r="180" spans="1:15">
      <c r="A180" s="1891"/>
      <c r="B180" s="1892"/>
      <c r="C180" s="110">
        <v>2016</v>
      </c>
      <c r="D180" s="336">
        <v>4</v>
      </c>
      <c r="E180" s="178"/>
      <c r="F180" s="178"/>
      <c r="G180" s="213">
        <f t="shared" si="19"/>
        <v>4</v>
      </c>
      <c r="H180" s="412">
        <v>4</v>
      </c>
      <c r="I180" s="177"/>
      <c r="J180" s="178"/>
      <c r="K180" s="178"/>
      <c r="L180" s="255">
        <v>3</v>
      </c>
      <c r="M180" s="255">
        <v>1</v>
      </c>
      <c r="N180" s="178"/>
      <c r="O180" s="88"/>
    </row>
    <row r="181" spans="1:15">
      <c r="A181" s="1891"/>
      <c r="B181" s="1892"/>
      <c r="C181" s="110">
        <v>2017</v>
      </c>
      <c r="D181" s="336">
        <v>27</v>
      </c>
      <c r="E181" s="178">
        <v>1</v>
      </c>
      <c r="F181" s="178"/>
      <c r="G181" s="213">
        <f t="shared" si="19"/>
        <v>28</v>
      </c>
      <c r="H181" s="412">
        <f>4+8</f>
        <v>12</v>
      </c>
      <c r="I181" s="177">
        <f>10+3+6</f>
        <v>19</v>
      </c>
      <c r="J181" s="178"/>
      <c r="K181" s="178"/>
      <c r="L181" s="178">
        <f>3+5</f>
        <v>8</v>
      </c>
      <c r="M181" s="178">
        <v>1</v>
      </c>
      <c r="N181" s="178"/>
      <c r="O181" s="88"/>
    </row>
    <row r="182" spans="1:15">
      <c r="A182" s="1891"/>
      <c r="B182" s="1892"/>
      <c r="C182" s="110">
        <v>2018</v>
      </c>
      <c r="D182" s="37"/>
      <c r="E182" s="38"/>
      <c r="F182" s="38"/>
      <c r="G182" s="284">
        <f t="shared" si="19"/>
        <v>0</v>
      </c>
      <c r="H182" s="411"/>
      <c r="I182" s="112"/>
      <c r="J182" s="38"/>
      <c r="K182" s="38"/>
      <c r="L182" s="38"/>
      <c r="M182" s="38"/>
      <c r="N182" s="38"/>
      <c r="O182" s="88"/>
    </row>
    <row r="183" spans="1:15">
      <c r="A183" s="1891"/>
      <c r="B183" s="1892"/>
      <c r="C183" s="110">
        <v>2019</v>
      </c>
      <c r="D183" s="37"/>
      <c r="E183" s="38"/>
      <c r="F183" s="38"/>
      <c r="G183" s="284">
        <f t="shared" si="19"/>
        <v>0</v>
      </c>
      <c r="H183" s="411"/>
      <c r="I183" s="112"/>
      <c r="J183" s="38"/>
      <c r="K183" s="38"/>
      <c r="L183" s="38"/>
      <c r="M183" s="38"/>
      <c r="N183" s="38"/>
      <c r="O183" s="88"/>
    </row>
    <row r="184" spans="1:15">
      <c r="A184" s="1891"/>
      <c r="B184" s="1892"/>
      <c r="C184" s="110">
        <v>2020</v>
      </c>
      <c r="D184" s="37"/>
      <c r="E184" s="38"/>
      <c r="F184" s="38"/>
      <c r="G184" s="284">
        <f t="shared" si="19"/>
        <v>0</v>
      </c>
      <c r="H184" s="411"/>
      <c r="I184" s="112"/>
      <c r="J184" s="38"/>
      <c r="K184" s="38"/>
      <c r="L184" s="38"/>
      <c r="M184" s="38"/>
      <c r="N184" s="38"/>
      <c r="O184" s="88"/>
    </row>
    <row r="185" spans="1:15" ht="78.75" customHeight="1" thickBot="1">
      <c r="A185" s="1893"/>
      <c r="B185" s="1894"/>
      <c r="C185" s="113" t="s">
        <v>13</v>
      </c>
      <c r="D185" s="139">
        <f>SUM(D178:D184)</f>
        <v>34</v>
      </c>
      <c r="E185" s="116">
        <f>SUM(E178:E184)</f>
        <v>1</v>
      </c>
      <c r="F185" s="116">
        <f>SUM(F178:F184)</f>
        <v>0</v>
      </c>
      <c r="G185" s="220">
        <f t="shared" ref="G185:O185" si="20">SUM(G178:G184)</f>
        <v>35</v>
      </c>
      <c r="H185" s="285">
        <f t="shared" si="20"/>
        <v>19</v>
      </c>
      <c r="I185" s="115">
        <f t="shared" si="20"/>
        <v>19</v>
      </c>
      <c r="J185" s="116">
        <f t="shared" si="20"/>
        <v>0</v>
      </c>
      <c r="K185" s="116">
        <f t="shared" si="20"/>
        <v>0</v>
      </c>
      <c r="L185" s="116">
        <f t="shared" si="20"/>
        <v>13</v>
      </c>
      <c r="M185" s="116">
        <f t="shared" si="20"/>
        <v>3</v>
      </c>
      <c r="N185" s="116">
        <f t="shared" si="20"/>
        <v>0</v>
      </c>
      <c r="O185" s="117">
        <f t="shared" si="20"/>
        <v>0</v>
      </c>
    </row>
    <row r="186" spans="1:15" ht="33" customHeight="1" thickBot="1"/>
    <row r="187" spans="1:15" ht="19.5" customHeight="1">
      <c r="A187" s="1861" t="s">
        <v>137</v>
      </c>
      <c r="B187" s="1863" t="s">
        <v>182</v>
      </c>
      <c r="C187" s="1865" t="s">
        <v>9</v>
      </c>
      <c r="D187" s="1867" t="s">
        <v>138</v>
      </c>
      <c r="E187" s="1868"/>
      <c r="F187" s="1868"/>
      <c r="G187" s="1869"/>
      <c r="H187" s="1870"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1872" t="s">
        <v>184</v>
      </c>
      <c r="B189" s="1873"/>
      <c r="C189" s="413">
        <v>2014</v>
      </c>
      <c r="D189" s="133"/>
      <c r="E189" s="109"/>
      <c r="F189" s="109"/>
      <c r="G189" s="291">
        <f>SUM(D189:F189)</f>
        <v>0</v>
      </c>
      <c r="H189" s="108"/>
      <c r="I189" s="109"/>
      <c r="J189" s="109"/>
      <c r="K189" s="109"/>
      <c r="L189" s="134"/>
    </row>
    <row r="190" spans="1:15">
      <c r="A190" s="1874"/>
      <c r="B190" s="1875"/>
      <c r="C190" s="414">
        <v>2015</v>
      </c>
      <c r="D190" s="217">
        <v>197</v>
      </c>
      <c r="E190" s="178"/>
      <c r="F190" s="178"/>
      <c r="G190" s="415">
        <f t="shared" ref="G190:G195" si="21">SUM(D190:F190)</f>
        <v>197</v>
      </c>
      <c r="H190" s="177">
        <v>0</v>
      </c>
      <c r="I190" s="178">
        <v>54</v>
      </c>
      <c r="J190" s="178"/>
      <c r="K190" s="178"/>
      <c r="L190" s="179">
        <v>143</v>
      </c>
    </row>
    <row r="191" spans="1:15">
      <c r="A191" s="1874"/>
      <c r="B191" s="1875"/>
      <c r="C191" s="414">
        <v>2016</v>
      </c>
      <c r="D191" s="217">
        <v>221</v>
      </c>
      <c r="E191" s="178"/>
      <c r="F191" s="178"/>
      <c r="G191" s="415">
        <f t="shared" si="21"/>
        <v>221</v>
      </c>
      <c r="H191" s="177">
        <v>0</v>
      </c>
      <c r="I191" s="178">
        <v>55</v>
      </c>
      <c r="J191" s="178"/>
      <c r="K191" s="178"/>
      <c r="L191" s="179">
        <v>166</v>
      </c>
    </row>
    <row r="192" spans="1:15">
      <c r="A192" s="1874"/>
      <c r="B192" s="1875"/>
      <c r="C192" s="414">
        <v>2017</v>
      </c>
      <c r="D192" s="217">
        <v>1149</v>
      </c>
      <c r="E192" s="178">
        <v>60</v>
      </c>
      <c r="F192" s="178"/>
      <c r="G192" s="415">
        <f t="shared" si="21"/>
        <v>1209</v>
      </c>
      <c r="H192" s="177"/>
      <c r="I192" s="178">
        <f>40+407</f>
        <v>447</v>
      </c>
      <c r="J192" s="178"/>
      <c r="K192" s="178">
        <f>60+60+180</f>
        <v>300</v>
      </c>
      <c r="L192" s="179">
        <f>177+285</f>
        <v>462</v>
      </c>
    </row>
    <row r="193" spans="1:14">
      <c r="A193" s="1874"/>
      <c r="B193" s="1875"/>
      <c r="C193" s="414">
        <v>2018</v>
      </c>
      <c r="D193" s="37"/>
      <c r="E193" s="38"/>
      <c r="F193" s="38"/>
      <c r="G193" s="291">
        <f t="shared" si="21"/>
        <v>0</v>
      </c>
      <c r="H193" s="112"/>
      <c r="I193" s="38"/>
      <c r="J193" s="38"/>
      <c r="K193" s="38"/>
      <c r="L193" s="88"/>
    </row>
    <row r="194" spans="1:14">
      <c r="A194" s="1874"/>
      <c r="B194" s="1875"/>
      <c r="C194" s="414">
        <v>2019</v>
      </c>
      <c r="D194" s="37"/>
      <c r="E194" s="38"/>
      <c r="F194" s="38"/>
      <c r="G194" s="291">
        <f t="shared" si="21"/>
        <v>0</v>
      </c>
      <c r="H194" s="112"/>
      <c r="I194" s="38"/>
      <c r="J194" s="38"/>
      <c r="K194" s="38"/>
      <c r="L194" s="88"/>
    </row>
    <row r="195" spans="1:14">
      <c r="A195" s="1874"/>
      <c r="B195" s="1875"/>
      <c r="C195" s="414">
        <v>2020</v>
      </c>
      <c r="D195" s="37"/>
      <c r="E195" s="38"/>
      <c r="F195" s="38"/>
      <c r="G195" s="291">
        <f t="shared" si="21"/>
        <v>0</v>
      </c>
      <c r="H195" s="112"/>
      <c r="I195" s="38"/>
      <c r="J195" s="38"/>
      <c r="K195" s="38"/>
      <c r="L195" s="88"/>
    </row>
    <row r="196" spans="1:14" ht="15.75" thickBot="1">
      <c r="A196" s="1876"/>
      <c r="B196" s="1877"/>
      <c r="C196" s="416" t="s">
        <v>13</v>
      </c>
      <c r="D196" s="139">
        <f t="shared" ref="D196:L196" si="22">SUM(D189:D195)</f>
        <v>1567</v>
      </c>
      <c r="E196" s="116">
        <f t="shared" si="22"/>
        <v>60</v>
      </c>
      <c r="F196" s="116">
        <f t="shared" si="22"/>
        <v>0</v>
      </c>
      <c r="G196" s="292">
        <f t="shared" si="22"/>
        <v>1627</v>
      </c>
      <c r="H196" s="115">
        <f t="shared" si="22"/>
        <v>0</v>
      </c>
      <c r="I196" s="116">
        <f t="shared" si="22"/>
        <v>556</v>
      </c>
      <c r="J196" s="116">
        <f t="shared" si="22"/>
        <v>0</v>
      </c>
      <c r="K196" s="116">
        <f t="shared" si="22"/>
        <v>300</v>
      </c>
      <c r="L196" s="117">
        <f t="shared" si="22"/>
        <v>771</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296" t="s">
        <v>150</v>
      </c>
      <c r="B201" s="417" t="s">
        <v>182</v>
      </c>
      <c r="C201" s="298" t="s">
        <v>9</v>
      </c>
      <c r="D201" s="299" t="s">
        <v>151</v>
      </c>
      <c r="E201" s="300" t="s">
        <v>152</v>
      </c>
      <c r="F201" s="300" t="s">
        <v>153</v>
      </c>
      <c r="G201" s="298" t="s">
        <v>154</v>
      </c>
      <c r="H201" s="301" t="s">
        <v>155</v>
      </c>
      <c r="I201" s="302" t="s">
        <v>156</v>
      </c>
      <c r="J201" s="303" t="s">
        <v>157</v>
      </c>
      <c r="K201" s="300" t="s">
        <v>158</v>
      </c>
      <c r="L201" s="304" t="s">
        <v>159</v>
      </c>
    </row>
    <row r="202" spans="1:14" ht="15" customHeight="1">
      <c r="A202" s="1854"/>
      <c r="B202" s="1855"/>
      <c r="C202" s="72">
        <v>2014</v>
      </c>
      <c r="D202" s="30"/>
      <c r="E202" s="31"/>
      <c r="F202" s="31"/>
      <c r="G202" s="29"/>
      <c r="H202" s="305"/>
      <c r="I202" s="306"/>
      <c r="J202" s="307"/>
      <c r="K202" s="31"/>
      <c r="L202" s="34"/>
    </row>
    <row r="203" spans="1:14">
      <c r="A203" s="1854"/>
      <c r="B203" s="1855"/>
      <c r="C203" s="73">
        <v>2015</v>
      </c>
      <c r="D203" s="37"/>
      <c r="E203" s="38"/>
      <c r="F203" s="38"/>
      <c r="G203" s="36"/>
      <c r="H203" s="308"/>
      <c r="I203" s="309"/>
      <c r="J203" s="310"/>
      <c r="K203" s="38"/>
      <c r="L203" s="88"/>
    </row>
    <row r="204" spans="1:14">
      <c r="A204" s="1854"/>
      <c r="B204" s="1855"/>
      <c r="C204" s="73">
        <v>2016</v>
      </c>
      <c r="D204" s="37"/>
      <c r="E204" s="38"/>
      <c r="F204" s="38"/>
      <c r="G204" s="36"/>
      <c r="H204" s="308"/>
      <c r="I204" s="309"/>
      <c r="J204" s="310"/>
      <c r="K204" s="38"/>
      <c r="L204" s="88"/>
    </row>
    <row r="205" spans="1:14">
      <c r="A205" s="1854"/>
      <c r="B205" s="1855"/>
      <c r="C205" s="73">
        <v>2017</v>
      </c>
      <c r="D205" s="37"/>
      <c r="E205" s="38"/>
      <c r="F205" s="38"/>
      <c r="G205" s="36"/>
      <c r="H205" s="308"/>
      <c r="I205" s="309"/>
      <c r="J205" s="310"/>
      <c r="K205" s="38"/>
      <c r="L205" s="88"/>
    </row>
    <row r="206" spans="1:14">
      <c r="A206" s="1854"/>
      <c r="B206" s="1855"/>
      <c r="C206" s="73">
        <v>2018</v>
      </c>
      <c r="D206" s="37"/>
      <c r="E206" s="38"/>
      <c r="F206" s="38"/>
      <c r="G206" s="36"/>
      <c r="H206" s="308"/>
      <c r="I206" s="309"/>
      <c r="J206" s="310"/>
      <c r="K206" s="38"/>
      <c r="L206" s="88"/>
    </row>
    <row r="207" spans="1:14">
      <c r="A207" s="1854"/>
      <c r="B207" s="1855"/>
      <c r="C207" s="73">
        <v>2019</v>
      </c>
      <c r="D207" s="37"/>
      <c r="E207" s="38"/>
      <c r="F207" s="38"/>
      <c r="G207" s="36"/>
      <c r="H207" s="308"/>
      <c r="I207" s="309"/>
      <c r="J207" s="310"/>
      <c r="K207" s="38"/>
      <c r="L207" s="88"/>
    </row>
    <row r="208" spans="1:14">
      <c r="A208" s="1854"/>
      <c r="B208" s="1855"/>
      <c r="C208" s="73">
        <v>2020</v>
      </c>
      <c r="D208" s="311"/>
      <c r="E208" s="312"/>
      <c r="F208" s="312"/>
      <c r="G208" s="313"/>
      <c r="H208" s="314"/>
      <c r="I208" s="315"/>
      <c r="J208" s="316"/>
      <c r="K208" s="312"/>
      <c r="L208" s="317"/>
    </row>
    <row r="209" spans="1:12" ht="20.25" customHeight="1" thickBot="1">
      <c r="A209" s="1856"/>
      <c r="B209" s="1857"/>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0</v>
      </c>
      <c r="K209" s="139">
        <f t="shared" si="23"/>
        <v>0</v>
      </c>
      <c r="L209" s="139">
        <f t="shared" si="23"/>
        <v>0</v>
      </c>
    </row>
    <row r="211" spans="1:12" ht="15.75" thickBot="1"/>
    <row r="212" spans="1:12" ht="29.25">
      <c r="A212" s="321" t="s">
        <v>161</v>
      </c>
      <c r="B212" s="322" t="s">
        <v>162</v>
      </c>
      <c r="C212" s="323">
        <v>2014</v>
      </c>
      <c r="D212" s="324">
        <v>2015</v>
      </c>
      <c r="E212" s="324">
        <v>2016</v>
      </c>
      <c r="F212" s="324">
        <v>2017</v>
      </c>
      <c r="G212" s="324">
        <v>2018</v>
      </c>
      <c r="H212" s="324">
        <v>2019</v>
      </c>
      <c r="I212" s="418">
        <v>2020</v>
      </c>
    </row>
    <row r="213" spans="1:12" ht="15" customHeight="1">
      <c r="A213" t="s">
        <v>163</v>
      </c>
      <c r="B213" s="1858" t="s">
        <v>185</v>
      </c>
      <c r="C213" s="72"/>
      <c r="D213" s="419">
        <f>D214+D216+D217</f>
        <v>272181.88</v>
      </c>
      <c r="E213" s="420">
        <f>E214+E216+E217</f>
        <v>627874.43000000005</v>
      </c>
      <c r="F213" s="420">
        <f>F214+F216+F217</f>
        <v>756072.35</v>
      </c>
      <c r="G213" s="135"/>
      <c r="H213" s="135"/>
      <c r="I213" s="326"/>
    </row>
    <row r="214" spans="1:12">
      <c r="A214" t="s">
        <v>164</v>
      </c>
      <c r="B214" s="1859"/>
      <c r="C214" s="72"/>
      <c r="D214" s="419">
        <f>45812.54+197206.34-67040.98-4858.5</f>
        <v>171119.40000000002</v>
      </c>
      <c r="E214" s="420">
        <f>452148.32-32338</f>
        <v>419810.32</v>
      </c>
      <c r="F214" s="420">
        <f>676547.35</f>
        <v>676547.35</v>
      </c>
      <c r="G214" s="135"/>
      <c r="H214" s="135"/>
      <c r="I214" s="326"/>
    </row>
    <row r="215" spans="1:12">
      <c r="A215" t="s">
        <v>165</v>
      </c>
      <c r="B215" s="1859"/>
      <c r="C215" s="72"/>
      <c r="D215" s="419">
        <v>0</v>
      </c>
      <c r="E215" s="420">
        <v>0</v>
      </c>
      <c r="F215" s="420">
        <v>0</v>
      </c>
      <c r="G215" s="135"/>
      <c r="H215" s="135"/>
      <c r="I215" s="326"/>
    </row>
    <row r="216" spans="1:12">
      <c r="A216" t="s">
        <v>166</v>
      </c>
      <c r="B216" s="1859"/>
      <c r="C216" s="72"/>
      <c r="D216" s="419">
        <f>18000+4858.5+67040.98</f>
        <v>89899.48</v>
      </c>
      <c r="E216" s="420">
        <f>73800+62715.08+13777.43+42000</f>
        <v>192292.51</v>
      </c>
      <c r="F216" s="420">
        <f>50000+12369</f>
        <v>62369</v>
      </c>
      <c r="G216" s="135"/>
      <c r="H216" s="135"/>
      <c r="I216" s="326"/>
    </row>
    <row r="217" spans="1:12">
      <c r="A217" t="s">
        <v>167</v>
      </c>
      <c r="B217" s="1859"/>
      <c r="C217" s="72"/>
      <c r="D217" s="419">
        <v>11163</v>
      </c>
      <c r="E217" s="420">
        <f>15771.6</f>
        <v>15771.6</v>
      </c>
      <c r="F217" s="420">
        <f>17156</f>
        <v>17156</v>
      </c>
      <c r="G217" s="135"/>
      <c r="H217" s="135"/>
      <c r="I217" s="73"/>
    </row>
    <row r="218" spans="1:12" ht="30">
      <c r="A218" s="56" t="s">
        <v>168</v>
      </c>
      <c r="B218" s="1859"/>
      <c r="C218" s="72"/>
      <c r="D218" s="419">
        <f>16911.27+86683.9+7302.12</f>
        <v>110897.29</v>
      </c>
      <c r="E218" s="420">
        <f>237305.13+36602.34+32338</f>
        <v>306245.46999999997</v>
      </c>
      <c r="F218" s="420">
        <f>220997.63+25468.82+145</f>
        <v>246611.45</v>
      </c>
      <c r="G218" s="135"/>
      <c r="H218" s="135"/>
      <c r="I218" s="326"/>
    </row>
    <row r="219" spans="1:12" ht="42.75" customHeight="1" thickBot="1">
      <c r="A219" s="331"/>
      <c r="B219" s="1860"/>
      <c r="C219" s="42" t="s">
        <v>13</v>
      </c>
      <c r="D219" s="333">
        <f>SUM(D214:D218)</f>
        <v>383079.17</v>
      </c>
      <c r="E219" s="421">
        <f t="shared" ref="E219:I219" si="24">SUM(E214:E218)</f>
        <v>934119.9</v>
      </c>
      <c r="F219" s="421">
        <f t="shared" si="24"/>
        <v>1002683.8</v>
      </c>
      <c r="G219" s="333">
        <f t="shared" si="24"/>
        <v>0</v>
      </c>
      <c r="H219" s="333">
        <f t="shared" si="24"/>
        <v>0</v>
      </c>
      <c r="I219" s="333">
        <f t="shared" si="24"/>
        <v>0</v>
      </c>
    </row>
    <row r="220" spans="1:12">
      <c r="D220" s="56"/>
    </row>
    <row r="229" spans="1:1">
      <c r="A229" s="56"/>
    </row>
  </sheetData>
  <mergeCells count="57">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A105"/>
    <mergeCell ref="B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27"/>
  <sheetViews>
    <sheetView topLeftCell="B7" zoomScale="80" zoomScaleNormal="80" workbookViewId="0">
      <selection activeCell="H18" sqref="H18:O18"/>
    </sheetView>
  </sheetViews>
  <sheetFormatPr defaultColWidth="8.85546875" defaultRowHeight="15"/>
  <cols>
    <col min="1" max="1" width="91" customWidth="1"/>
    <col min="2" max="2" width="44"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285</v>
      </c>
      <c r="C1" s="1944"/>
      <c r="D1" s="1944"/>
      <c r="E1" s="1944"/>
      <c r="F1" s="1944"/>
    </row>
    <row r="2" spans="1:25" s="1" customFormat="1" ht="20.100000000000001" customHeight="1" thickBot="1"/>
    <row r="3" spans="1:25" s="4" customFormat="1" ht="20.100000000000001" customHeight="1">
      <c r="A3" s="488" t="s">
        <v>2</v>
      </c>
      <c r="B3" s="489"/>
      <c r="C3" s="489"/>
      <c r="D3" s="489"/>
      <c r="E3" s="489"/>
      <c r="F3" s="2010"/>
      <c r="G3" s="2010"/>
      <c r="H3" s="2010"/>
      <c r="I3" s="2010"/>
      <c r="J3" s="2010"/>
      <c r="K3" s="2010"/>
      <c r="L3" s="2010"/>
      <c r="M3" s="2010"/>
      <c r="N3" s="2010"/>
      <c r="O3" s="2011"/>
    </row>
    <row r="4" spans="1:25" s="4" customFormat="1" ht="20.100000000000001" customHeight="1">
      <c r="A4" s="1947" t="s">
        <v>170</v>
      </c>
      <c r="B4" s="1948"/>
      <c r="C4" s="1948"/>
      <c r="D4" s="1948"/>
      <c r="E4" s="1948"/>
      <c r="F4" s="1948"/>
      <c r="G4" s="1948"/>
      <c r="H4" s="1948"/>
      <c r="I4" s="1948"/>
      <c r="J4" s="1948"/>
      <c r="K4" s="1948"/>
      <c r="L4" s="1948"/>
      <c r="M4" s="1948"/>
      <c r="N4" s="1948"/>
      <c r="O4" s="1949"/>
    </row>
    <row r="5" spans="1:25" s="4" customFormat="1" ht="20.100000000000001" customHeight="1">
      <c r="A5" s="1947"/>
      <c r="B5" s="1948"/>
      <c r="C5" s="1948"/>
      <c r="D5" s="1948"/>
      <c r="E5" s="1948"/>
      <c r="F5" s="1948"/>
      <c r="G5" s="1948"/>
      <c r="H5" s="1948"/>
      <c r="I5" s="1948"/>
      <c r="J5" s="1948"/>
      <c r="K5" s="1948"/>
      <c r="L5" s="1948"/>
      <c r="M5" s="1948"/>
      <c r="N5" s="1948"/>
      <c r="O5" s="1949"/>
    </row>
    <row r="6" spans="1:25" s="4" customFormat="1" ht="20.100000000000001" customHeight="1">
      <c r="A6" s="1947"/>
      <c r="B6" s="1948"/>
      <c r="C6" s="1948"/>
      <c r="D6" s="1948"/>
      <c r="E6" s="1948"/>
      <c r="F6" s="1948"/>
      <c r="G6" s="1948"/>
      <c r="H6" s="1948"/>
      <c r="I6" s="1948"/>
      <c r="J6" s="1948"/>
      <c r="K6" s="1948"/>
      <c r="L6" s="1948"/>
      <c r="M6" s="1948"/>
      <c r="N6" s="1948"/>
      <c r="O6" s="1949"/>
    </row>
    <row r="7" spans="1:25" s="4" customFormat="1" ht="20.100000000000001" customHeight="1">
      <c r="A7" s="1947"/>
      <c r="B7" s="1948"/>
      <c r="C7" s="1948"/>
      <c r="D7" s="1948"/>
      <c r="E7" s="1948"/>
      <c r="F7" s="1948"/>
      <c r="G7" s="1948"/>
      <c r="H7" s="1948"/>
      <c r="I7" s="1948"/>
      <c r="J7" s="1948"/>
      <c r="K7" s="1948"/>
      <c r="L7" s="1948"/>
      <c r="M7" s="1948"/>
      <c r="N7" s="1948"/>
      <c r="O7" s="1949"/>
    </row>
    <row r="8" spans="1:25" s="4" customFormat="1" ht="20.100000000000001" customHeight="1">
      <c r="A8" s="1947"/>
      <c r="B8" s="1948"/>
      <c r="C8" s="1948"/>
      <c r="D8" s="1948"/>
      <c r="E8" s="1948"/>
      <c r="F8" s="1948"/>
      <c r="G8" s="1948"/>
      <c r="H8" s="1948"/>
      <c r="I8" s="1948"/>
      <c r="J8" s="1948"/>
      <c r="K8" s="1948"/>
      <c r="L8" s="1948"/>
      <c r="M8" s="1948"/>
      <c r="N8" s="1948"/>
      <c r="O8" s="1949"/>
    </row>
    <row r="9" spans="1:25" s="4" customFormat="1" ht="20.100000000000001" customHeight="1">
      <c r="A9" s="1947"/>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515"/>
      <c r="B15" s="516"/>
      <c r="C15" s="10"/>
      <c r="D15" s="1953" t="s">
        <v>5</v>
      </c>
      <c r="E15" s="2012"/>
      <c r="F15" s="2012"/>
      <c r="G15" s="2012"/>
      <c r="H15" s="11"/>
      <c r="I15" s="12" t="s">
        <v>6</v>
      </c>
      <c r="J15" s="13"/>
      <c r="K15" s="13"/>
      <c r="L15" s="13"/>
      <c r="M15" s="13"/>
      <c r="N15" s="13"/>
      <c r="O15" s="14"/>
      <c r="P15" s="15"/>
      <c r="Q15" s="16"/>
      <c r="R15" s="17"/>
      <c r="S15" s="17"/>
      <c r="T15" s="17"/>
      <c r="U15" s="17"/>
      <c r="V15" s="17"/>
      <c r="W15" s="15"/>
      <c r="X15" s="15"/>
      <c r="Y15" s="16"/>
    </row>
    <row r="16" spans="1:25" s="56" customFormat="1" ht="148.5" customHeight="1">
      <c r="A16" s="922" t="s">
        <v>7</v>
      </c>
      <c r="B16" s="923" t="s">
        <v>171</v>
      </c>
      <c r="C16" s="924" t="s">
        <v>9</v>
      </c>
      <c r="D16" s="925" t="s">
        <v>10</v>
      </c>
      <c r="E16" s="926" t="s">
        <v>11</v>
      </c>
      <c r="F16" s="926" t="s">
        <v>12</v>
      </c>
      <c r="G16" s="927" t="s">
        <v>13</v>
      </c>
      <c r="H16" s="928" t="s">
        <v>14</v>
      </c>
      <c r="I16" s="926" t="s">
        <v>15</v>
      </c>
      <c r="J16" s="926" t="s">
        <v>16</v>
      </c>
      <c r="K16" s="926" t="s">
        <v>17</v>
      </c>
      <c r="L16" s="926" t="s">
        <v>18</v>
      </c>
      <c r="M16" s="929" t="s">
        <v>19</v>
      </c>
      <c r="N16" s="926" t="s">
        <v>20</v>
      </c>
      <c r="O16" s="930" t="s">
        <v>21</v>
      </c>
      <c r="P16" s="28"/>
      <c r="Q16" s="28"/>
      <c r="R16" s="28"/>
      <c r="S16" s="28"/>
      <c r="T16" s="28"/>
      <c r="U16" s="28"/>
      <c r="V16" s="28"/>
      <c r="W16" s="28"/>
      <c r="X16" s="28"/>
      <c r="Y16" s="28"/>
    </row>
    <row r="17" spans="1:25" ht="17.25" customHeight="1">
      <c r="A17" s="2195" t="s">
        <v>286</v>
      </c>
      <c r="B17" s="2196"/>
      <c r="C17" s="931">
        <v>2014</v>
      </c>
      <c r="D17" s="30"/>
      <c r="E17" s="31"/>
      <c r="F17" s="31"/>
      <c r="G17" s="932">
        <f t="shared" ref="G17:G23" si="0">SUM(D17:F17)</f>
        <v>0</v>
      </c>
      <c r="H17" s="33"/>
      <c r="I17" s="31"/>
      <c r="J17" s="31"/>
      <c r="K17" s="31"/>
      <c r="L17" s="31"/>
      <c r="M17" s="31"/>
      <c r="N17" s="31"/>
      <c r="O17" s="34"/>
      <c r="P17" s="35"/>
      <c r="Q17" s="35"/>
      <c r="R17" s="35"/>
      <c r="S17" s="35"/>
      <c r="T17" s="35"/>
      <c r="U17" s="35"/>
      <c r="V17" s="35"/>
      <c r="W17" s="35"/>
      <c r="X17" s="35"/>
      <c r="Y17" s="35"/>
    </row>
    <row r="18" spans="1:25" ht="19.5" customHeight="1">
      <c r="A18" s="2227"/>
      <c r="B18" s="2196"/>
      <c r="C18" s="933">
        <v>2015</v>
      </c>
      <c r="D18" s="934">
        <v>10</v>
      </c>
      <c r="E18" s="935">
        <v>2</v>
      </c>
      <c r="F18" s="935">
        <v>0</v>
      </c>
      <c r="G18" s="936">
        <f>SUM(D18:F18)</f>
        <v>12</v>
      </c>
      <c r="H18" s="937">
        <v>1</v>
      </c>
      <c r="I18" s="935">
        <v>3</v>
      </c>
      <c r="J18" s="935">
        <v>0</v>
      </c>
      <c r="K18" s="935">
        <v>3</v>
      </c>
      <c r="L18" s="935">
        <v>0</v>
      </c>
      <c r="M18" s="935">
        <v>0</v>
      </c>
      <c r="N18" s="935">
        <v>0</v>
      </c>
      <c r="O18" s="938">
        <v>5</v>
      </c>
      <c r="P18" s="35"/>
      <c r="Q18" s="35"/>
      <c r="R18" s="35"/>
      <c r="S18" s="35"/>
      <c r="T18" s="35"/>
      <c r="U18" s="35"/>
      <c r="V18" s="35"/>
      <c r="W18" s="35"/>
      <c r="X18" s="35"/>
      <c r="Y18" s="35"/>
    </row>
    <row r="19" spans="1:25" ht="18.75" customHeight="1">
      <c r="A19" s="2227"/>
      <c r="B19" s="2196"/>
      <c r="C19" s="933">
        <v>2016</v>
      </c>
      <c r="D19" s="934">
        <v>23</v>
      </c>
      <c r="E19" s="935">
        <v>1</v>
      </c>
      <c r="F19" s="935">
        <v>0</v>
      </c>
      <c r="G19" s="936">
        <f t="shared" si="0"/>
        <v>24</v>
      </c>
      <c r="H19" s="937">
        <v>0</v>
      </c>
      <c r="I19" s="935">
        <v>8</v>
      </c>
      <c r="J19" s="935">
        <v>0</v>
      </c>
      <c r="K19" s="935">
        <v>9</v>
      </c>
      <c r="L19" s="935">
        <v>0</v>
      </c>
      <c r="M19" s="935">
        <v>0</v>
      </c>
      <c r="N19" s="935">
        <v>0</v>
      </c>
      <c r="O19" s="938">
        <v>7</v>
      </c>
      <c r="P19" s="35"/>
      <c r="Q19" s="35"/>
      <c r="R19" s="35"/>
      <c r="S19" s="35"/>
      <c r="T19" s="35"/>
      <c r="U19" s="35"/>
      <c r="V19" s="35"/>
      <c r="W19" s="35"/>
      <c r="X19" s="35"/>
      <c r="Y19" s="35"/>
    </row>
    <row r="20" spans="1:25" ht="16.5" customHeight="1">
      <c r="A20" s="2227"/>
      <c r="B20" s="2196"/>
      <c r="C20" s="933">
        <v>2017</v>
      </c>
      <c r="D20" s="934">
        <v>18</v>
      </c>
      <c r="E20" s="935">
        <v>7</v>
      </c>
      <c r="F20" s="935">
        <v>0</v>
      </c>
      <c r="G20" s="939">
        <f t="shared" si="0"/>
        <v>25</v>
      </c>
      <c r="H20" s="937">
        <v>0</v>
      </c>
      <c r="I20" s="935">
        <v>13</v>
      </c>
      <c r="J20" s="935">
        <v>1</v>
      </c>
      <c r="K20" s="935">
        <v>2</v>
      </c>
      <c r="L20" s="935">
        <v>0</v>
      </c>
      <c r="M20" s="935">
        <v>0</v>
      </c>
      <c r="N20" s="935">
        <v>0</v>
      </c>
      <c r="O20" s="938">
        <v>9</v>
      </c>
      <c r="P20" s="35"/>
      <c r="Q20" s="35"/>
      <c r="R20" s="35"/>
      <c r="S20" s="35"/>
      <c r="T20" s="35"/>
      <c r="U20" s="35"/>
      <c r="V20" s="35"/>
      <c r="W20" s="35"/>
      <c r="X20" s="35"/>
      <c r="Y20" s="35"/>
    </row>
    <row r="21" spans="1:25" ht="17.25" customHeight="1">
      <c r="A21" s="2227"/>
      <c r="B21" s="2196"/>
      <c r="C21" s="933">
        <v>2018</v>
      </c>
      <c r="D21" s="940"/>
      <c r="E21" s="941"/>
      <c r="F21" s="941"/>
      <c r="G21" s="939">
        <f t="shared" si="0"/>
        <v>0</v>
      </c>
      <c r="H21" s="942"/>
      <c r="I21" s="941"/>
      <c r="J21" s="941"/>
      <c r="K21" s="941"/>
      <c r="L21" s="941"/>
      <c r="M21" s="941"/>
      <c r="N21" s="941"/>
      <c r="O21" s="943"/>
      <c r="P21" s="35"/>
      <c r="Q21" s="35"/>
      <c r="R21" s="35"/>
      <c r="S21" s="35"/>
      <c r="T21" s="35"/>
      <c r="U21" s="35"/>
      <c r="V21" s="35"/>
      <c r="W21" s="35"/>
      <c r="X21" s="35"/>
      <c r="Y21" s="35"/>
    </row>
    <row r="22" spans="1:25" ht="18.75" customHeight="1">
      <c r="A22" s="2227"/>
      <c r="B22" s="2196"/>
      <c r="C22" s="944">
        <v>2019</v>
      </c>
      <c r="D22" s="940"/>
      <c r="E22" s="941"/>
      <c r="F22" s="941"/>
      <c r="G22" s="939">
        <f>SUM(D22:F22)</f>
        <v>0</v>
      </c>
      <c r="H22" s="942"/>
      <c r="I22" s="941"/>
      <c r="J22" s="941"/>
      <c r="K22" s="941"/>
      <c r="L22" s="941"/>
      <c r="M22" s="941"/>
      <c r="N22" s="941"/>
      <c r="O22" s="943"/>
      <c r="P22" s="35"/>
      <c r="Q22" s="35"/>
      <c r="R22" s="35"/>
      <c r="S22" s="35"/>
      <c r="T22" s="35"/>
      <c r="U22" s="35"/>
      <c r="V22" s="35"/>
      <c r="W22" s="35"/>
      <c r="X22" s="35"/>
      <c r="Y22" s="35"/>
    </row>
    <row r="23" spans="1:25" ht="17.25" customHeight="1">
      <c r="A23" s="2227"/>
      <c r="B23" s="2196"/>
      <c r="C23" s="933">
        <v>2020</v>
      </c>
      <c r="D23" s="940"/>
      <c r="E23" s="941"/>
      <c r="F23" s="941"/>
      <c r="G23" s="939">
        <f t="shared" si="0"/>
        <v>0</v>
      </c>
      <c r="H23" s="942"/>
      <c r="I23" s="941"/>
      <c r="J23" s="941"/>
      <c r="K23" s="941"/>
      <c r="L23" s="941"/>
      <c r="M23" s="941"/>
      <c r="N23" s="941"/>
      <c r="O23" s="943"/>
      <c r="P23" s="35"/>
      <c r="Q23" s="35"/>
      <c r="R23" s="35"/>
      <c r="S23" s="35"/>
      <c r="T23" s="35"/>
      <c r="U23" s="35"/>
      <c r="V23" s="35"/>
      <c r="W23" s="35"/>
      <c r="X23" s="35"/>
      <c r="Y23" s="35"/>
    </row>
    <row r="24" spans="1:25" ht="25.5" customHeight="1" thickBot="1">
      <c r="A24" s="2228"/>
      <c r="B24" s="2198"/>
      <c r="C24" s="945" t="s">
        <v>13</v>
      </c>
      <c r="D24" s="946">
        <f>SUM(D17:D23)</f>
        <v>51</v>
      </c>
      <c r="E24" s="947">
        <f>SUM(E17:E23)</f>
        <v>10</v>
      </c>
      <c r="F24" s="947">
        <f>SUM(F17:F23)</f>
        <v>0</v>
      </c>
      <c r="G24" s="948">
        <f>SUM(D24:F24)</f>
        <v>61</v>
      </c>
      <c r="H24" s="949">
        <f t="shared" ref="H24:O24" si="1">SUM(H17:H23)</f>
        <v>1</v>
      </c>
      <c r="I24" s="950">
        <f t="shared" si="1"/>
        <v>24</v>
      </c>
      <c r="J24" s="950">
        <f t="shared" si="1"/>
        <v>1</v>
      </c>
      <c r="K24" s="950">
        <f t="shared" si="1"/>
        <v>14</v>
      </c>
      <c r="L24" s="950">
        <f t="shared" si="1"/>
        <v>0</v>
      </c>
      <c r="M24" s="950">
        <f t="shared" si="1"/>
        <v>0</v>
      </c>
      <c r="N24" s="950">
        <f t="shared" si="1"/>
        <v>0</v>
      </c>
      <c r="O24" s="951">
        <f t="shared" si="1"/>
        <v>21</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515"/>
      <c r="B26" s="952"/>
      <c r="C26" s="953"/>
      <c r="D26" s="1959" t="s">
        <v>5</v>
      </c>
      <c r="E26" s="2071"/>
      <c r="F26" s="2071"/>
      <c r="G26" s="2072"/>
      <c r="H26" s="15"/>
      <c r="I26" s="16"/>
      <c r="J26" s="17"/>
      <c r="K26" s="17"/>
      <c r="L26" s="17"/>
      <c r="M26" s="17"/>
      <c r="N26" s="17"/>
      <c r="O26" s="15"/>
      <c r="P26" s="15"/>
    </row>
    <row r="27" spans="1:25" s="56" customFormat="1" ht="48.75" customHeight="1">
      <c r="A27" s="954" t="s">
        <v>23</v>
      </c>
      <c r="B27" s="335" t="s">
        <v>171</v>
      </c>
      <c r="C27" s="955" t="s">
        <v>9</v>
      </c>
      <c r="D27" s="54" t="s">
        <v>10</v>
      </c>
      <c r="E27" s="22" t="s">
        <v>11</v>
      </c>
      <c r="F27" s="22" t="s">
        <v>12</v>
      </c>
      <c r="G27" s="55" t="s">
        <v>13</v>
      </c>
      <c r="H27" s="28"/>
      <c r="I27" s="28"/>
      <c r="J27" s="28"/>
      <c r="K27" s="28"/>
      <c r="L27" s="28"/>
      <c r="M27" s="28"/>
      <c r="N27" s="28"/>
      <c r="O27" s="28"/>
      <c r="P27" s="28"/>
      <c r="Q27" s="51"/>
    </row>
    <row r="28" spans="1:25" ht="15" customHeight="1">
      <c r="A28" s="2195" t="s">
        <v>287</v>
      </c>
      <c r="B28" s="2196"/>
      <c r="C28" s="956">
        <v>2014</v>
      </c>
      <c r="D28" s="957"/>
      <c r="E28" s="958"/>
      <c r="F28" s="958"/>
      <c r="G28" s="959">
        <f>SUM(D28:F28)</f>
        <v>0</v>
      </c>
      <c r="H28" s="35"/>
      <c r="I28" s="35"/>
      <c r="J28" s="35"/>
      <c r="K28" s="35"/>
      <c r="L28" s="35"/>
      <c r="M28" s="35"/>
      <c r="N28" s="35"/>
      <c r="O28" s="35"/>
      <c r="P28" s="35"/>
      <c r="Q28" s="7"/>
    </row>
    <row r="29" spans="1:25">
      <c r="A29" s="2227"/>
      <c r="B29" s="2196"/>
      <c r="C29" s="960">
        <v>2015</v>
      </c>
      <c r="D29" s="961">
        <v>895</v>
      </c>
      <c r="E29" s="962">
        <v>1000</v>
      </c>
      <c r="F29" s="962">
        <v>0</v>
      </c>
      <c r="G29" s="959">
        <f t="shared" ref="G29:G35" si="2">SUM(D29:F29)</f>
        <v>1895</v>
      </c>
      <c r="H29" s="35"/>
      <c r="I29" s="35"/>
      <c r="J29" s="35"/>
      <c r="K29" s="35"/>
      <c r="L29" s="35"/>
      <c r="M29" s="35"/>
      <c r="N29" s="35"/>
      <c r="O29" s="35"/>
      <c r="P29" s="35"/>
      <c r="Q29" s="7"/>
    </row>
    <row r="30" spans="1:25" ht="14.25" customHeight="1">
      <c r="A30" s="2227"/>
      <c r="B30" s="2196"/>
      <c r="C30" s="960">
        <v>2016</v>
      </c>
      <c r="D30" s="963">
        <v>2815</v>
      </c>
      <c r="E30" s="964">
        <v>35000</v>
      </c>
      <c r="F30" s="964">
        <v>0</v>
      </c>
      <c r="G30" s="959">
        <f t="shared" si="2"/>
        <v>37815</v>
      </c>
      <c r="H30" s="35"/>
      <c r="I30" s="35"/>
      <c r="J30" s="35"/>
      <c r="K30" s="35"/>
      <c r="L30" s="35"/>
      <c r="M30" s="35"/>
      <c r="N30" s="35"/>
      <c r="O30" s="35"/>
      <c r="P30" s="35"/>
      <c r="Q30" s="7"/>
    </row>
    <row r="31" spans="1:25">
      <c r="A31" s="2227"/>
      <c r="B31" s="2196"/>
      <c r="C31" s="960">
        <v>2017</v>
      </c>
      <c r="D31" s="963">
        <v>1974</v>
      </c>
      <c r="E31" s="964">
        <v>48580</v>
      </c>
      <c r="F31" s="962">
        <v>0</v>
      </c>
      <c r="G31" s="965">
        <f t="shared" si="2"/>
        <v>50554</v>
      </c>
      <c r="H31" s="35"/>
      <c r="I31" s="35"/>
      <c r="J31" s="35"/>
      <c r="K31" s="35"/>
      <c r="L31" s="35"/>
      <c r="M31" s="35"/>
      <c r="N31" s="35"/>
      <c r="O31" s="35"/>
      <c r="P31" s="35"/>
      <c r="Q31" s="7"/>
    </row>
    <row r="32" spans="1:25">
      <c r="A32" s="2227"/>
      <c r="B32" s="2196"/>
      <c r="C32" s="960">
        <v>2018</v>
      </c>
      <c r="D32" s="966"/>
      <c r="E32" s="967"/>
      <c r="F32" s="967"/>
      <c r="G32" s="959">
        <f>SUM(D32:F32)</f>
        <v>0</v>
      </c>
      <c r="H32" s="35"/>
      <c r="I32" s="35"/>
      <c r="J32" s="35"/>
      <c r="K32" s="35"/>
      <c r="L32" s="35"/>
      <c r="M32" s="35"/>
      <c r="N32" s="35"/>
      <c r="O32" s="35"/>
      <c r="P32" s="35"/>
      <c r="Q32" s="7"/>
    </row>
    <row r="33" spans="1:17">
      <c r="A33" s="2227"/>
      <c r="B33" s="2196"/>
      <c r="C33" s="968">
        <v>2019</v>
      </c>
      <c r="D33" s="966"/>
      <c r="E33" s="967"/>
      <c r="F33" s="967"/>
      <c r="G33" s="959">
        <f t="shared" si="2"/>
        <v>0</v>
      </c>
      <c r="H33" s="35"/>
      <c r="I33" s="35"/>
      <c r="J33" s="35"/>
      <c r="K33" s="35"/>
      <c r="L33" s="35"/>
      <c r="M33" s="35"/>
      <c r="N33" s="35"/>
      <c r="O33" s="35"/>
      <c r="P33" s="35"/>
      <c r="Q33" s="7"/>
    </row>
    <row r="34" spans="1:17">
      <c r="A34" s="2227"/>
      <c r="B34" s="2196"/>
      <c r="C34" s="960">
        <v>2020</v>
      </c>
      <c r="D34" s="966"/>
      <c r="E34" s="967"/>
      <c r="F34" s="967"/>
      <c r="G34" s="959">
        <f t="shared" si="2"/>
        <v>0</v>
      </c>
      <c r="H34" s="35"/>
      <c r="I34" s="35"/>
      <c r="J34" s="35"/>
      <c r="K34" s="35"/>
      <c r="L34" s="35"/>
      <c r="M34" s="35"/>
      <c r="N34" s="35"/>
      <c r="O34" s="35"/>
      <c r="P34" s="35"/>
      <c r="Q34" s="7"/>
    </row>
    <row r="35" spans="1:17" ht="36" customHeight="1" thickBot="1">
      <c r="A35" s="2228"/>
      <c r="B35" s="2198"/>
      <c r="C35" s="969" t="s">
        <v>13</v>
      </c>
      <c r="D35" s="970">
        <f>SUM(D28:D34)</f>
        <v>5684</v>
      </c>
      <c r="E35" s="971">
        <f>SUM(E28:E34)</f>
        <v>84580</v>
      </c>
      <c r="F35" s="971">
        <f>SUM(F28:F34)</f>
        <v>0</v>
      </c>
      <c r="G35" s="972">
        <f t="shared" si="2"/>
        <v>90264</v>
      </c>
      <c r="H35" s="35"/>
      <c r="I35" s="35"/>
      <c r="J35" s="35"/>
      <c r="K35" s="35"/>
      <c r="L35" s="35"/>
      <c r="M35" s="35"/>
      <c r="N35" s="35"/>
      <c r="O35" s="35"/>
      <c r="P35" s="35"/>
      <c r="Q35" s="7"/>
    </row>
    <row r="36" spans="1:17">
      <c r="A36" s="62"/>
      <c r="B36" s="62"/>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F38" s="35"/>
      <c r="G38" s="35"/>
      <c r="H38" s="35"/>
    </row>
    <row r="39" spans="1:17" ht="48" customHeight="1">
      <c r="A39" s="973" t="s">
        <v>26</v>
      </c>
      <c r="B39" s="974" t="s">
        <v>171</v>
      </c>
      <c r="C39" s="975" t="s">
        <v>9</v>
      </c>
      <c r="D39" s="976" t="s">
        <v>28</v>
      </c>
      <c r="E39" s="977" t="s">
        <v>29</v>
      </c>
      <c r="F39" s="35"/>
      <c r="G39" s="28"/>
      <c r="H39" s="35"/>
    </row>
    <row r="40" spans="1:17">
      <c r="A40" s="2007" t="s">
        <v>288</v>
      </c>
      <c r="B40" s="2229"/>
      <c r="C40" s="978">
        <v>2014</v>
      </c>
      <c r="D40" s="30"/>
      <c r="E40" s="57"/>
      <c r="F40" s="35"/>
      <c r="G40" s="35"/>
      <c r="H40" s="35"/>
    </row>
    <row r="41" spans="1:17">
      <c r="A41" s="2230"/>
      <c r="B41" s="2229"/>
      <c r="C41" s="979">
        <v>2015</v>
      </c>
      <c r="D41" s="980">
        <v>0</v>
      </c>
      <c r="E41" s="981">
        <v>0</v>
      </c>
      <c r="F41" s="35"/>
      <c r="G41" s="35"/>
      <c r="H41" s="35"/>
    </row>
    <row r="42" spans="1:17">
      <c r="A42" s="2230"/>
      <c r="B42" s="2229"/>
      <c r="C42" s="979">
        <v>2016</v>
      </c>
      <c r="D42" s="982">
        <v>14310</v>
      </c>
      <c r="E42" s="982">
        <v>6685</v>
      </c>
      <c r="F42" s="35"/>
      <c r="G42" s="35"/>
      <c r="H42" s="35"/>
    </row>
    <row r="43" spans="1:17">
      <c r="A43" s="2230"/>
      <c r="B43" s="2229"/>
      <c r="C43" s="979">
        <v>2017</v>
      </c>
      <c r="D43" s="983">
        <v>34809</v>
      </c>
      <c r="E43" s="984">
        <v>9228</v>
      </c>
      <c r="F43" s="7"/>
      <c r="G43" s="35"/>
      <c r="H43" s="35"/>
    </row>
    <row r="44" spans="1:17">
      <c r="A44" s="2230"/>
      <c r="B44" s="2229"/>
      <c r="C44" s="979">
        <v>2018</v>
      </c>
      <c r="D44" s="985"/>
      <c r="E44" s="986"/>
      <c r="F44" s="7"/>
      <c r="G44" s="35"/>
      <c r="H44" s="35"/>
    </row>
    <row r="45" spans="1:17">
      <c r="A45" s="2230"/>
      <c r="B45" s="2229"/>
      <c r="C45" s="979">
        <v>2019</v>
      </c>
      <c r="D45" s="987"/>
      <c r="E45" s="988"/>
      <c r="F45" s="7"/>
      <c r="G45" s="35"/>
      <c r="H45" s="35"/>
    </row>
    <row r="46" spans="1:17">
      <c r="A46" s="2230"/>
      <c r="B46" s="2229"/>
      <c r="C46" s="979">
        <v>2020</v>
      </c>
      <c r="D46" s="987"/>
      <c r="E46" s="988"/>
      <c r="F46" s="7"/>
      <c r="G46" s="35"/>
      <c r="H46" s="35"/>
    </row>
    <row r="47" spans="1:17" ht="15.75" thickBot="1">
      <c r="A47" s="2231"/>
      <c r="B47" s="2232"/>
      <c r="C47" s="989" t="s">
        <v>13</v>
      </c>
      <c r="D47" s="990">
        <f>SUM(D40:D46)</f>
        <v>49119</v>
      </c>
      <c r="E47" s="991">
        <f>SUM(E40:E46)</f>
        <v>15913</v>
      </c>
      <c r="F47" s="7"/>
      <c r="G47" s="35"/>
      <c r="H47" s="35"/>
    </row>
    <row r="48" spans="1:17" s="35" customFormat="1" ht="15.75" thickBot="1">
      <c r="A48" s="539"/>
      <c r="B48" s="80"/>
      <c r="C48" s="81"/>
    </row>
    <row r="49" spans="1:15" ht="86.25" customHeight="1">
      <c r="A49" s="992" t="s">
        <v>32</v>
      </c>
      <c r="B49" s="974" t="s">
        <v>171</v>
      </c>
      <c r="C49" s="975" t="s">
        <v>9</v>
      </c>
      <c r="D49" s="976" t="s">
        <v>34</v>
      </c>
      <c r="E49" s="993" t="s">
        <v>35</v>
      </c>
      <c r="F49" s="993" t="s">
        <v>36</v>
      </c>
      <c r="G49" s="993" t="s">
        <v>37</v>
      </c>
      <c r="H49" s="993" t="s">
        <v>38</v>
      </c>
      <c r="I49" s="993" t="s">
        <v>39</v>
      </c>
      <c r="J49" s="993" t="s">
        <v>40</v>
      </c>
      <c r="K49" s="994" t="s">
        <v>41</v>
      </c>
    </row>
    <row r="50" spans="1:15" ht="17.25" customHeight="1">
      <c r="A50" s="2233" t="s">
        <v>289</v>
      </c>
      <c r="B50" s="2234"/>
      <c r="C50" s="995" t="s">
        <v>43</v>
      </c>
      <c r="D50" s="30"/>
      <c r="E50" s="31"/>
      <c r="F50" s="31"/>
      <c r="G50" s="31"/>
      <c r="H50" s="31"/>
      <c r="I50" s="31"/>
      <c r="J50" s="31"/>
      <c r="K50" s="34"/>
    </row>
    <row r="51" spans="1:15" ht="15" customHeight="1">
      <c r="A51" s="1939"/>
      <c r="B51" s="2235"/>
      <c r="C51" s="979">
        <v>2014</v>
      </c>
      <c r="D51" s="37"/>
      <c r="E51" s="38"/>
      <c r="F51" s="38"/>
      <c r="G51" s="38"/>
      <c r="H51" s="38"/>
      <c r="I51" s="38"/>
      <c r="J51" s="38"/>
      <c r="K51" s="88"/>
    </row>
    <row r="52" spans="1:15">
      <c r="A52" s="1939"/>
      <c r="B52" s="2235"/>
      <c r="C52" s="979">
        <v>2015</v>
      </c>
      <c r="D52" s="980">
        <v>0</v>
      </c>
      <c r="E52" s="935">
        <v>0</v>
      </c>
      <c r="F52" s="935">
        <v>0</v>
      </c>
      <c r="G52" s="996">
        <v>0</v>
      </c>
      <c r="H52" s="935">
        <v>0</v>
      </c>
      <c r="I52" s="935">
        <v>0</v>
      </c>
      <c r="J52" s="996">
        <v>0</v>
      </c>
      <c r="K52" s="997">
        <v>0</v>
      </c>
    </row>
    <row r="53" spans="1:15">
      <c r="A53" s="1939"/>
      <c r="B53" s="2235"/>
      <c r="C53" s="979">
        <v>2016</v>
      </c>
      <c r="D53" s="998">
        <v>2</v>
      </c>
      <c r="E53" s="941">
        <v>0</v>
      </c>
      <c r="F53" s="941">
        <v>0</v>
      </c>
      <c r="G53" s="999">
        <v>360</v>
      </c>
      <c r="H53" s="941">
        <v>0</v>
      </c>
      <c r="I53" s="941">
        <v>0</v>
      </c>
      <c r="J53" s="999">
        <v>119</v>
      </c>
      <c r="K53" s="1000">
        <v>230</v>
      </c>
    </row>
    <row r="54" spans="1:15">
      <c r="A54" s="1939"/>
      <c r="B54" s="2235"/>
      <c r="C54" s="979">
        <v>2017</v>
      </c>
      <c r="D54" s="1001">
        <v>2</v>
      </c>
      <c r="E54" s="935">
        <v>0</v>
      </c>
      <c r="F54" s="935">
        <v>0</v>
      </c>
      <c r="G54" s="935">
        <v>595</v>
      </c>
      <c r="H54" s="935">
        <v>0</v>
      </c>
      <c r="I54" s="935">
        <v>0</v>
      </c>
      <c r="J54" s="996">
        <v>145</v>
      </c>
      <c r="K54" s="997">
        <v>412</v>
      </c>
    </row>
    <row r="55" spans="1:15">
      <c r="A55" s="1939"/>
      <c r="B55" s="2235"/>
      <c r="C55" s="979">
        <v>2018</v>
      </c>
      <c r="D55" s="37"/>
      <c r="E55" s="38"/>
      <c r="F55" s="38"/>
      <c r="G55" s="38"/>
      <c r="H55" s="38"/>
      <c r="I55" s="38"/>
      <c r="J55" s="38"/>
      <c r="K55" s="88"/>
    </row>
    <row r="56" spans="1:15">
      <c r="A56" s="1939"/>
      <c r="B56" s="2235"/>
      <c r="C56" s="979">
        <v>2019</v>
      </c>
      <c r="D56" s="37"/>
      <c r="E56" s="38"/>
      <c r="F56" s="38"/>
      <c r="G56" s="38"/>
      <c r="H56" s="38"/>
      <c r="I56" s="38"/>
      <c r="J56" s="38"/>
      <c r="K56" s="88"/>
    </row>
    <row r="57" spans="1:15">
      <c r="A57" s="1939"/>
      <c r="B57" s="2235"/>
      <c r="C57" s="979">
        <v>2020</v>
      </c>
      <c r="D57" s="37"/>
      <c r="E57" s="38"/>
      <c r="F57" s="38"/>
      <c r="G57" s="38"/>
      <c r="H57" s="38"/>
      <c r="I57" s="38"/>
      <c r="J57" s="38"/>
      <c r="K57" s="93"/>
    </row>
    <row r="58" spans="1:15" ht="20.25" customHeight="1" thickBot="1">
      <c r="A58" s="2236"/>
      <c r="B58" s="2237"/>
      <c r="C58" s="989" t="s">
        <v>13</v>
      </c>
      <c r="D58" s="1002">
        <f>SUM(D51:D57)</f>
        <v>4</v>
      </c>
      <c r="E58" s="1003">
        <f>SUM(E51:E57)</f>
        <v>0</v>
      </c>
      <c r="F58" s="1003">
        <f>SUM(F51:F57)</f>
        <v>0</v>
      </c>
      <c r="G58" s="1003">
        <f>SUM(G51:G57)</f>
        <v>955</v>
      </c>
      <c r="H58" s="1003">
        <f>SUM(H51:H57)</f>
        <v>0</v>
      </c>
      <c r="I58" s="1003">
        <f t="shared" ref="I58" si="3">SUM(I51:I57)</f>
        <v>0</v>
      </c>
      <c r="J58" s="1003">
        <f>SUM(J51:J57)</f>
        <v>264</v>
      </c>
      <c r="K58" s="1004">
        <f>SUM(K50:K56)</f>
        <v>642</v>
      </c>
    </row>
    <row r="59" spans="1:15" ht="15.75" thickBot="1"/>
    <row r="60" spans="1:15" ht="34.5" customHeight="1">
      <c r="A60" s="2238" t="s">
        <v>44</v>
      </c>
      <c r="B60" s="974"/>
      <c r="C60" s="2240" t="s">
        <v>9</v>
      </c>
      <c r="D60" s="2225" t="s">
        <v>45</v>
      </c>
      <c r="E60" s="1005" t="s">
        <v>6</v>
      </c>
      <c r="F60" s="1006"/>
      <c r="G60" s="1006"/>
      <c r="H60" s="1006"/>
      <c r="I60" s="1006"/>
      <c r="J60" s="1006"/>
      <c r="K60" s="1006"/>
      <c r="L60" s="1007"/>
    </row>
    <row r="61" spans="1:15" ht="128.25" customHeight="1">
      <c r="A61" s="2239"/>
      <c r="B61" s="1008" t="s">
        <v>171</v>
      </c>
      <c r="C61" s="2241"/>
      <c r="D61" s="2226"/>
      <c r="E61" s="1009" t="s">
        <v>14</v>
      </c>
      <c r="F61" s="1010" t="s">
        <v>15</v>
      </c>
      <c r="G61" s="1010" t="s">
        <v>16</v>
      </c>
      <c r="H61" s="1011" t="s">
        <v>17</v>
      </c>
      <c r="I61" s="1011" t="s">
        <v>18</v>
      </c>
      <c r="J61" s="1012" t="s">
        <v>19</v>
      </c>
      <c r="K61" s="1010" t="s">
        <v>20</v>
      </c>
      <c r="L61" s="1013" t="s">
        <v>21</v>
      </c>
      <c r="M61" s="105"/>
      <c r="N61" s="7"/>
      <c r="O61" s="7"/>
    </row>
    <row r="62" spans="1:15">
      <c r="A62" s="2212" t="s">
        <v>290</v>
      </c>
      <c r="B62" s="2092"/>
      <c r="C62" s="1014">
        <v>2014</v>
      </c>
      <c r="D62" s="107"/>
      <c r="E62" s="108"/>
      <c r="F62" s="109"/>
      <c r="G62" s="109"/>
      <c r="H62" s="109"/>
      <c r="I62" s="109"/>
      <c r="J62" s="109"/>
      <c r="K62" s="109"/>
      <c r="L62" s="34"/>
      <c r="M62" s="7"/>
      <c r="N62" s="7"/>
      <c r="O62" s="7"/>
    </row>
    <row r="63" spans="1:15">
      <c r="A63" s="2212"/>
      <c r="B63" s="2092"/>
      <c r="C63" s="1015">
        <v>2015</v>
      </c>
      <c r="D63" s="1016">
        <v>1</v>
      </c>
      <c r="E63" s="1017">
        <v>0</v>
      </c>
      <c r="F63" s="967">
        <v>0</v>
      </c>
      <c r="G63" s="967">
        <v>0</v>
      </c>
      <c r="H63" s="967">
        <v>0</v>
      </c>
      <c r="I63" s="967">
        <v>1</v>
      </c>
      <c r="J63" s="967">
        <v>0</v>
      </c>
      <c r="K63" s="967">
        <v>0</v>
      </c>
      <c r="L63" s="1018">
        <v>0</v>
      </c>
      <c r="M63" s="7"/>
      <c r="N63" s="7"/>
      <c r="O63" s="7"/>
    </row>
    <row r="64" spans="1:15">
      <c r="A64" s="2212"/>
      <c r="B64" s="2092"/>
      <c r="C64" s="1015">
        <v>2016</v>
      </c>
      <c r="D64" s="1016">
        <v>2</v>
      </c>
      <c r="E64" s="1017">
        <v>0</v>
      </c>
      <c r="F64" s="967">
        <v>0</v>
      </c>
      <c r="G64" s="967">
        <v>0</v>
      </c>
      <c r="H64" s="967">
        <v>0</v>
      </c>
      <c r="I64" s="967">
        <v>1</v>
      </c>
      <c r="J64" s="967">
        <v>0</v>
      </c>
      <c r="K64" s="967">
        <v>0</v>
      </c>
      <c r="L64" s="1018">
        <v>1</v>
      </c>
      <c r="M64" s="7"/>
      <c r="N64" s="7"/>
      <c r="O64" s="7"/>
    </row>
    <row r="65" spans="1:20">
      <c r="A65" s="2212"/>
      <c r="B65" s="2092"/>
      <c r="C65" s="1015">
        <v>2017</v>
      </c>
      <c r="D65" s="1016">
        <v>1</v>
      </c>
      <c r="E65" s="1017">
        <v>0</v>
      </c>
      <c r="F65" s="967">
        <v>1</v>
      </c>
      <c r="G65" s="967">
        <v>0</v>
      </c>
      <c r="H65" s="967">
        <v>0</v>
      </c>
      <c r="I65" s="967">
        <v>0</v>
      </c>
      <c r="J65" s="967">
        <v>0</v>
      </c>
      <c r="K65" s="967">
        <v>0</v>
      </c>
      <c r="L65" s="1018">
        <v>0</v>
      </c>
      <c r="M65" s="7"/>
      <c r="N65" s="7"/>
      <c r="O65" s="7"/>
    </row>
    <row r="66" spans="1:20">
      <c r="A66" s="2212"/>
      <c r="B66" s="2092"/>
      <c r="C66" s="1015">
        <v>2018</v>
      </c>
      <c r="D66" s="111"/>
      <c r="E66" s="112"/>
      <c r="F66" s="38"/>
      <c r="G66" s="38"/>
      <c r="H66" s="38"/>
      <c r="I66" s="38"/>
      <c r="J66" s="38"/>
      <c r="K66" s="38"/>
      <c r="L66" s="88"/>
      <c r="M66" s="7"/>
      <c r="N66" s="7"/>
      <c r="O66" s="7"/>
    </row>
    <row r="67" spans="1:20" ht="17.25" customHeight="1">
      <c r="A67" s="2212"/>
      <c r="B67" s="2092"/>
      <c r="C67" s="1015">
        <v>2019</v>
      </c>
      <c r="D67" s="111"/>
      <c r="E67" s="112"/>
      <c r="F67" s="38"/>
      <c r="G67" s="38"/>
      <c r="H67" s="38"/>
      <c r="I67" s="38"/>
      <c r="J67" s="38"/>
      <c r="K67" s="38"/>
      <c r="L67" s="88"/>
      <c r="M67" s="7"/>
      <c r="N67" s="7"/>
      <c r="O67" s="7"/>
    </row>
    <row r="68" spans="1:20" ht="16.5" customHeight="1">
      <c r="A68" s="2212"/>
      <c r="B68" s="2092"/>
      <c r="C68" s="1015">
        <v>2020</v>
      </c>
      <c r="D68" s="111"/>
      <c r="E68" s="112"/>
      <c r="F68" s="38"/>
      <c r="G68" s="38"/>
      <c r="H68" s="38"/>
      <c r="I68" s="38"/>
      <c r="J68" s="38"/>
      <c r="K68" s="38"/>
      <c r="L68" s="88"/>
      <c r="M68" s="78"/>
      <c r="N68" s="78"/>
      <c r="O68" s="78"/>
    </row>
    <row r="69" spans="1:20" ht="18" customHeight="1" thickBot="1">
      <c r="A69" s="2220"/>
      <c r="B69" s="2093"/>
      <c r="C69" s="1019" t="s">
        <v>13</v>
      </c>
      <c r="D69" s="1020">
        <f>SUM(D62:D68)</f>
        <v>4</v>
      </c>
      <c r="E69" s="1021">
        <f>SUM(E62:E68)</f>
        <v>0</v>
      </c>
      <c r="F69" s="1020">
        <f t="shared" ref="F69:I69" si="4">SUM(F62:F68)</f>
        <v>1</v>
      </c>
      <c r="G69" s="1020">
        <f t="shared" si="4"/>
        <v>0</v>
      </c>
      <c r="H69" s="1020">
        <f t="shared" si="4"/>
        <v>0</v>
      </c>
      <c r="I69" s="1020">
        <f t="shared" si="4"/>
        <v>2</v>
      </c>
      <c r="J69" s="1020"/>
      <c r="K69" s="1020">
        <f>SUM(K62:K68)</f>
        <v>0</v>
      </c>
      <c r="L69" s="1022">
        <f>SUM(L62:L68)</f>
        <v>1</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1023" t="s">
        <v>47</v>
      </c>
      <c r="B71" s="974" t="s">
        <v>171</v>
      </c>
      <c r="C71" s="975" t="s">
        <v>9</v>
      </c>
      <c r="D71" s="993" t="s">
        <v>49</v>
      </c>
      <c r="E71" s="993" t="s">
        <v>50</v>
      </c>
      <c r="F71" s="1024" t="s">
        <v>51</v>
      </c>
      <c r="G71" s="1025" t="s">
        <v>52</v>
      </c>
      <c r="H71" s="1026" t="s">
        <v>14</v>
      </c>
      <c r="I71" s="1027" t="s">
        <v>15</v>
      </c>
      <c r="J71" s="1028" t="s">
        <v>16</v>
      </c>
      <c r="K71" s="1027" t="s">
        <v>17</v>
      </c>
      <c r="L71" s="1027" t="s">
        <v>18</v>
      </c>
      <c r="M71" s="1029" t="s">
        <v>19</v>
      </c>
      <c r="N71" s="1028" t="s">
        <v>20</v>
      </c>
      <c r="O71" s="130" t="s">
        <v>21</v>
      </c>
    </row>
    <row r="72" spans="1:20" ht="15.75" customHeight="1">
      <c r="A72" s="2221" t="s">
        <v>291</v>
      </c>
      <c r="B72" s="2222"/>
      <c r="C72" s="72">
        <v>2014</v>
      </c>
      <c r="D72" s="131"/>
      <c r="E72" s="131"/>
      <c r="F72" s="131"/>
      <c r="G72" s="1030">
        <f>SUM(D72:F72)</f>
        <v>0</v>
      </c>
      <c r="H72" s="30"/>
      <c r="I72" s="133"/>
      <c r="J72" s="109"/>
      <c r="K72" s="109"/>
      <c r="L72" s="109"/>
      <c r="M72" s="109"/>
      <c r="N72" s="109"/>
      <c r="O72" s="134"/>
    </row>
    <row r="73" spans="1:20">
      <c r="A73" s="2221"/>
      <c r="B73" s="2222"/>
      <c r="C73" s="73">
        <v>2015</v>
      </c>
      <c r="D73" s="1031">
        <v>13</v>
      </c>
      <c r="E73" s="1031">
        <v>0</v>
      </c>
      <c r="F73" s="1031">
        <v>34</v>
      </c>
      <c r="G73" s="1030">
        <f t="shared" ref="G73:G78" si="5">SUM(D73:F73)</f>
        <v>47</v>
      </c>
      <c r="H73" s="1032">
        <v>0</v>
      </c>
      <c r="I73" s="1032">
        <v>0</v>
      </c>
      <c r="J73" s="999">
        <v>0</v>
      </c>
      <c r="K73" s="999">
        <v>0</v>
      </c>
      <c r="L73" s="999">
        <v>0</v>
      </c>
      <c r="M73" s="999">
        <v>0</v>
      </c>
      <c r="N73" s="999">
        <v>0</v>
      </c>
      <c r="O73" s="1000">
        <v>47</v>
      </c>
    </row>
    <row r="74" spans="1:20">
      <c r="A74" s="2221"/>
      <c r="B74" s="2222"/>
      <c r="C74" s="73">
        <v>2016</v>
      </c>
      <c r="D74" s="1031">
        <v>8</v>
      </c>
      <c r="E74" s="1031">
        <v>3</v>
      </c>
      <c r="F74" s="1031">
        <v>17</v>
      </c>
      <c r="G74" s="1030">
        <f t="shared" si="5"/>
        <v>28</v>
      </c>
      <c r="H74" s="1032">
        <v>0</v>
      </c>
      <c r="I74" s="1032">
        <v>9</v>
      </c>
      <c r="J74" s="999">
        <v>3</v>
      </c>
      <c r="K74" s="999">
        <v>3</v>
      </c>
      <c r="L74" s="999">
        <v>8</v>
      </c>
      <c r="M74" s="999">
        <v>0</v>
      </c>
      <c r="N74" s="999">
        <v>0</v>
      </c>
      <c r="O74" s="1000">
        <v>5</v>
      </c>
    </row>
    <row r="75" spans="1:20">
      <c r="A75" s="2221"/>
      <c r="B75" s="2222"/>
      <c r="C75" s="73">
        <v>2017</v>
      </c>
      <c r="D75" s="1033">
        <v>4</v>
      </c>
      <c r="E75" s="1033">
        <v>3</v>
      </c>
      <c r="F75" s="1033">
        <v>23</v>
      </c>
      <c r="G75" s="1030">
        <f t="shared" si="5"/>
        <v>30</v>
      </c>
      <c r="H75" s="1034">
        <v>0</v>
      </c>
      <c r="I75" s="1034">
        <v>1</v>
      </c>
      <c r="J75" s="1034">
        <v>4</v>
      </c>
      <c r="K75" s="1034">
        <v>1</v>
      </c>
      <c r="L75" s="1034">
        <v>0</v>
      </c>
      <c r="M75" s="1034">
        <v>0</v>
      </c>
      <c r="N75" s="1034">
        <v>0</v>
      </c>
      <c r="O75" s="1000">
        <v>24</v>
      </c>
    </row>
    <row r="76" spans="1:20">
      <c r="A76" s="2221"/>
      <c r="B76" s="2222"/>
      <c r="C76" s="73">
        <v>2018</v>
      </c>
      <c r="D76" s="135"/>
      <c r="E76" s="135"/>
      <c r="F76" s="135"/>
      <c r="G76" s="1030">
        <f t="shared" si="5"/>
        <v>0</v>
      </c>
      <c r="H76" s="37"/>
      <c r="I76" s="37"/>
      <c r="J76" s="38"/>
      <c r="K76" s="38"/>
      <c r="L76" s="38"/>
      <c r="M76" s="38"/>
      <c r="N76" s="38"/>
      <c r="O76" s="88"/>
    </row>
    <row r="77" spans="1:20" ht="15.75" customHeight="1">
      <c r="A77" s="2221"/>
      <c r="B77" s="2222"/>
      <c r="C77" s="73">
        <v>2019</v>
      </c>
      <c r="D77" s="135"/>
      <c r="E77" s="135"/>
      <c r="F77" s="135"/>
      <c r="G77" s="1030">
        <f t="shared" si="5"/>
        <v>0</v>
      </c>
      <c r="H77" s="37"/>
      <c r="I77" s="37"/>
      <c r="J77" s="38"/>
      <c r="K77" s="38"/>
      <c r="L77" s="38"/>
      <c r="M77" s="38"/>
      <c r="N77" s="38"/>
      <c r="O77" s="88"/>
    </row>
    <row r="78" spans="1:20" ht="21" customHeight="1">
      <c r="A78" s="2221"/>
      <c r="B78" s="2222"/>
      <c r="C78" s="73">
        <v>2020</v>
      </c>
      <c r="D78" s="135"/>
      <c r="E78" s="135"/>
      <c r="F78" s="135"/>
      <c r="G78" s="1030">
        <f t="shared" si="5"/>
        <v>0</v>
      </c>
      <c r="H78" s="37"/>
      <c r="I78" s="37"/>
      <c r="J78" s="38"/>
      <c r="K78" s="38"/>
      <c r="L78" s="38"/>
      <c r="M78" s="38"/>
      <c r="N78" s="38"/>
      <c r="O78" s="88"/>
    </row>
    <row r="79" spans="1:20" ht="81" customHeight="1" thickBot="1">
      <c r="A79" s="2223"/>
      <c r="B79" s="2224"/>
      <c r="C79" s="136" t="s">
        <v>13</v>
      </c>
      <c r="D79" s="1035">
        <f>SUM(D72:D78)</f>
        <v>25</v>
      </c>
      <c r="E79" s="1035">
        <f>SUM(E72:E78)</f>
        <v>6</v>
      </c>
      <c r="F79" s="1035">
        <f>SUM(F72:F78)</f>
        <v>74</v>
      </c>
      <c r="G79" s="1036">
        <f>SUM(G72:G78)</f>
        <v>105</v>
      </c>
      <c r="H79" s="1037">
        <v>0</v>
      </c>
      <c r="I79" s="1038">
        <f t="shared" ref="I79:O79" si="6">SUM(I72:I78)</f>
        <v>10</v>
      </c>
      <c r="J79" s="1035">
        <f t="shared" si="6"/>
        <v>7</v>
      </c>
      <c r="K79" s="1035">
        <f t="shared" si="6"/>
        <v>4</v>
      </c>
      <c r="L79" s="1035">
        <f t="shared" si="6"/>
        <v>8</v>
      </c>
      <c r="M79" s="1035">
        <f t="shared" si="6"/>
        <v>0</v>
      </c>
      <c r="N79" s="1035">
        <f t="shared" si="6"/>
        <v>0</v>
      </c>
      <c r="O79" s="1039">
        <f t="shared" si="6"/>
        <v>76</v>
      </c>
    </row>
    <row r="81" spans="1:17" ht="15" customHeight="1">
      <c r="A81" s="140"/>
      <c r="B81" s="119"/>
      <c r="C81" s="141"/>
      <c r="D81" s="142"/>
      <c r="E81" s="78"/>
      <c r="F81" s="78"/>
      <c r="G81" s="78"/>
      <c r="H81" s="78"/>
      <c r="I81" s="78"/>
      <c r="J81" s="78"/>
      <c r="K81" s="78"/>
    </row>
    <row r="82" spans="1:17" ht="28.5" customHeight="1">
      <c r="A82" s="143" t="s">
        <v>55</v>
      </c>
      <c r="B82" s="143"/>
      <c r="C82" s="144"/>
      <c r="D82" s="144"/>
      <c r="E82" s="144"/>
      <c r="F82" s="144"/>
      <c r="G82" s="144"/>
      <c r="H82" s="144"/>
      <c r="I82" s="144"/>
      <c r="J82" s="144"/>
      <c r="K82" s="144"/>
      <c r="L82" s="145"/>
    </row>
    <row r="83" spans="1:17" ht="14.25" customHeight="1" thickBot="1">
      <c r="A83" s="146"/>
      <c r="B83" s="146"/>
    </row>
    <row r="84" spans="1:17" s="56" customFormat="1" ht="128.25" customHeight="1">
      <c r="A84" s="1040" t="s">
        <v>56</v>
      </c>
      <c r="B84" s="1041" t="s">
        <v>178</v>
      </c>
      <c r="C84" s="1042" t="s">
        <v>9</v>
      </c>
      <c r="D84" s="1043" t="s">
        <v>58</v>
      </c>
      <c r="E84" s="1044" t="s">
        <v>59</v>
      </c>
      <c r="F84" s="1045" t="s">
        <v>60</v>
      </c>
      <c r="G84" s="1045" t="s">
        <v>61</v>
      </c>
      <c r="H84" s="1045" t="s">
        <v>62</v>
      </c>
      <c r="I84" s="1045" t="s">
        <v>63</v>
      </c>
      <c r="J84" s="1045" t="s">
        <v>64</v>
      </c>
      <c r="K84" s="1046" t="s">
        <v>65</v>
      </c>
    </row>
    <row r="85" spans="1:17" ht="15" customHeight="1">
      <c r="A85" s="1939" t="s">
        <v>292</v>
      </c>
      <c r="B85" s="1899"/>
      <c r="C85" s="978">
        <v>2014</v>
      </c>
      <c r="D85" s="154"/>
      <c r="E85" s="155"/>
      <c r="F85" s="31"/>
      <c r="G85" s="31"/>
      <c r="H85" s="31"/>
      <c r="I85" s="31"/>
      <c r="J85" s="31"/>
      <c r="K85" s="34"/>
    </row>
    <row r="86" spans="1:17">
      <c r="A86" s="1939"/>
      <c r="B86" s="1899"/>
      <c r="C86" s="979">
        <v>2015</v>
      </c>
      <c r="D86" s="156"/>
      <c r="E86" s="112"/>
      <c r="F86" s="38"/>
      <c r="G86" s="38"/>
      <c r="H86" s="38"/>
      <c r="I86" s="38"/>
      <c r="J86" s="38"/>
      <c r="K86" s="88"/>
    </row>
    <row r="87" spans="1:17">
      <c r="A87" s="1939"/>
      <c r="B87" s="1899"/>
      <c r="C87" s="979">
        <v>2016</v>
      </c>
      <c r="D87" s="156"/>
      <c r="E87" s="112"/>
      <c r="F87" s="38"/>
      <c r="G87" s="38"/>
      <c r="H87" s="38"/>
      <c r="I87" s="38"/>
      <c r="J87" s="38"/>
      <c r="K87" s="88"/>
    </row>
    <row r="88" spans="1:17">
      <c r="A88" s="1939"/>
      <c r="B88" s="1899"/>
      <c r="C88" s="979">
        <v>2017</v>
      </c>
      <c r="D88" s="156"/>
      <c r="E88" s="112"/>
      <c r="F88" s="38"/>
      <c r="G88" s="38"/>
      <c r="H88" s="38"/>
      <c r="I88" s="38"/>
      <c r="J88" s="38"/>
      <c r="K88" s="88"/>
    </row>
    <row r="89" spans="1:17">
      <c r="A89" s="1939"/>
      <c r="B89" s="1899"/>
      <c r="C89" s="979">
        <v>2018</v>
      </c>
      <c r="D89" s="156"/>
      <c r="E89" s="112"/>
      <c r="F89" s="38"/>
      <c r="G89" s="38"/>
      <c r="H89" s="38"/>
      <c r="I89" s="38"/>
      <c r="J89" s="38"/>
      <c r="K89" s="88"/>
    </row>
    <row r="90" spans="1:17">
      <c r="A90" s="1939"/>
      <c r="B90" s="1899"/>
      <c r="C90" s="979">
        <v>2019</v>
      </c>
      <c r="D90" s="156"/>
      <c r="E90" s="112"/>
      <c r="F90" s="38"/>
      <c r="G90" s="38"/>
      <c r="H90" s="38"/>
      <c r="I90" s="38"/>
      <c r="J90" s="38"/>
      <c r="K90" s="88"/>
    </row>
    <row r="91" spans="1:17">
      <c r="A91" s="1939"/>
      <c r="B91" s="1899"/>
      <c r="C91" s="979">
        <v>2020</v>
      </c>
      <c r="D91" s="156"/>
      <c r="E91" s="112"/>
      <c r="F91" s="38"/>
      <c r="G91" s="38"/>
      <c r="H91" s="38"/>
      <c r="I91" s="38"/>
      <c r="J91" s="38"/>
      <c r="K91" s="88"/>
    </row>
    <row r="92" spans="1:17" ht="18" customHeight="1" thickBot="1">
      <c r="A92" s="1940"/>
      <c r="B92" s="1900"/>
      <c r="C92" s="1047" t="s">
        <v>13</v>
      </c>
      <c r="D92" s="1048">
        <f t="shared" ref="D92:I92" si="7">SUM(D85:D91)</f>
        <v>0</v>
      </c>
      <c r="E92" s="1049">
        <f t="shared" si="7"/>
        <v>0</v>
      </c>
      <c r="F92" s="1035">
        <f t="shared" si="7"/>
        <v>0</v>
      </c>
      <c r="G92" s="1035">
        <f t="shared" si="7"/>
        <v>0</v>
      </c>
      <c r="H92" s="1035">
        <f t="shared" si="7"/>
        <v>0</v>
      </c>
      <c r="I92" s="1035">
        <f t="shared" si="7"/>
        <v>0</v>
      </c>
      <c r="J92" s="1035">
        <f>SUM(J85:J91)</f>
        <v>0</v>
      </c>
      <c r="K92" s="1039">
        <f>SUM(K85:K91)</f>
        <v>0</v>
      </c>
    </row>
    <row r="93" spans="1:17" ht="20.25" customHeight="1"/>
    <row r="94" spans="1:17" ht="21">
      <c r="A94" s="158" t="s">
        <v>67</v>
      </c>
      <c r="B94" s="158"/>
      <c r="C94" s="159"/>
      <c r="D94" s="159"/>
      <c r="E94" s="159"/>
      <c r="F94" s="159"/>
      <c r="G94" s="159"/>
      <c r="H94" s="159"/>
      <c r="I94" s="159"/>
      <c r="J94" s="159"/>
      <c r="K94" s="159"/>
      <c r="L94" s="159"/>
      <c r="M94" s="159"/>
    </row>
    <row r="95" spans="1:17" s="65" customFormat="1" ht="15" customHeight="1" thickBot="1">
      <c r="A95" s="161"/>
      <c r="B95" s="161"/>
      <c r="N95"/>
      <c r="O95"/>
      <c r="P95"/>
      <c r="Q95"/>
    </row>
    <row r="96" spans="1:17" ht="29.25" customHeight="1">
      <c r="A96" s="2208" t="s">
        <v>68</v>
      </c>
      <c r="B96" s="2210" t="s">
        <v>179</v>
      </c>
      <c r="C96" s="2216" t="s">
        <v>9</v>
      </c>
      <c r="D96" s="1916" t="s">
        <v>70</v>
      </c>
      <c r="E96" s="1917"/>
      <c r="F96" s="162" t="s">
        <v>71</v>
      </c>
      <c r="G96" s="549"/>
      <c r="H96" s="549"/>
      <c r="I96" s="549"/>
      <c r="J96" s="549"/>
      <c r="K96" s="549"/>
      <c r="L96" s="549"/>
      <c r="M96" s="550"/>
    </row>
    <row r="97" spans="1:14" ht="100.5" customHeight="1">
      <c r="A97" s="2209"/>
      <c r="B97" s="2211"/>
      <c r="C97" s="2217"/>
      <c r="D97" s="166" t="s">
        <v>72</v>
      </c>
      <c r="E97" s="167" t="s">
        <v>73</v>
      </c>
      <c r="F97" s="168" t="s">
        <v>14</v>
      </c>
      <c r="G97" s="169" t="s">
        <v>74</v>
      </c>
      <c r="H97" s="170" t="s">
        <v>61</v>
      </c>
      <c r="I97" s="171" t="s">
        <v>62</v>
      </c>
      <c r="J97" s="171" t="s">
        <v>63</v>
      </c>
      <c r="K97" s="172" t="s">
        <v>75</v>
      </c>
      <c r="L97" s="170" t="s">
        <v>64</v>
      </c>
      <c r="M97" s="173" t="s">
        <v>65</v>
      </c>
    </row>
    <row r="98" spans="1:14" ht="17.25" customHeight="1">
      <c r="A98" s="2212" t="s">
        <v>293</v>
      </c>
      <c r="B98" s="2213"/>
      <c r="C98" s="1014">
        <v>2014</v>
      </c>
      <c r="D98" s="30"/>
      <c r="E98" s="31"/>
      <c r="F98" s="174"/>
      <c r="G98" s="175"/>
      <c r="H98" s="175"/>
      <c r="I98" s="175"/>
      <c r="J98" s="175"/>
      <c r="K98" s="175"/>
      <c r="L98" s="175"/>
      <c r="M98" s="176"/>
    </row>
    <row r="99" spans="1:14" ht="16.5" customHeight="1">
      <c r="A99" s="2212"/>
      <c r="B99" s="2213"/>
      <c r="C99" s="1015">
        <v>2015</v>
      </c>
      <c r="D99" s="934">
        <v>1</v>
      </c>
      <c r="E99" s="935">
        <v>1</v>
      </c>
      <c r="F99" s="1050">
        <v>0</v>
      </c>
      <c r="G99" s="962">
        <v>0</v>
      </c>
      <c r="H99" s="962">
        <v>0</v>
      </c>
      <c r="I99" s="962">
        <v>0</v>
      </c>
      <c r="J99" s="962">
        <v>0</v>
      </c>
      <c r="K99" s="962">
        <v>0</v>
      </c>
      <c r="L99" s="962">
        <v>0</v>
      </c>
      <c r="M99" s="1051">
        <v>1</v>
      </c>
    </row>
    <row r="100" spans="1:14" ht="16.5" customHeight="1">
      <c r="A100" s="2212"/>
      <c r="B100" s="2213"/>
      <c r="C100" s="1015">
        <v>2016</v>
      </c>
      <c r="D100" s="940">
        <v>1</v>
      </c>
      <c r="E100" s="941">
        <v>7</v>
      </c>
      <c r="F100" s="1052">
        <v>0</v>
      </c>
      <c r="G100" s="1053">
        <v>0</v>
      </c>
      <c r="H100" s="1053">
        <v>0</v>
      </c>
      <c r="I100" s="1053">
        <v>0</v>
      </c>
      <c r="J100" s="1053">
        <v>0</v>
      </c>
      <c r="K100" s="1053">
        <v>0</v>
      </c>
      <c r="L100" s="1053">
        <v>0</v>
      </c>
      <c r="M100" s="1054">
        <v>1</v>
      </c>
    </row>
    <row r="101" spans="1:14" ht="16.5" customHeight="1">
      <c r="A101" s="2212"/>
      <c r="B101" s="2213"/>
      <c r="C101" s="1015">
        <v>2017</v>
      </c>
      <c r="D101" s="1034">
        <v>1</v>
      </c>
      <c r="E101" s="999">
        <v>8</v>
      </c>
      <c r="F101" s="1050">
        <v>0</v>
      </c>
      <c r="G101" s="962">
        <v>0</v>
      </c>
      <c r="H101" s="962">
        <v>0</v>
      </c>
      <c r="I101" s="962">
        <v>0</v>
      </c>
      <c r="J101" s="962">
        <v>0</v>
      </c>
      <c r="K101" s="962">
        <v>0</v>
      </c>
      <c r="L101" s="962">
        <v>0</v>
      </c>
      <c r="M101" s="1051">
        <v>1</v>
      </c>
    </row>
    <row r="102" spans="1:14" ht="15.75" customHeight="1">
      <c r="A102" s="2212"/>
      <c r="B102" s="2213"/>
      <c r="C102" s="1015">
        <v>2018</v>
      </c>
      <c r="D102" s="37"/>
      <c r="E102" s="38"/>
      <c r="F102" s="177"/>
      <c r="G102" s="178"/>
      <c r="H102" s="178"/>
      <c r="I102" s="178"/>
      <c r="J102" s="178"/>
      <c r="K102" s="178"/>
      <c r="L102" s="178"/>
      <c r="M102" s="179"/>
    </row>
    <row r="103" spans="1:14" ht="14.25" customHeight="1">
      <c r="A103" s="2212"/>
      <c r="B103" s="2213"/>
      <c r="C103" s="1015">
        <v>2019</v>
      </c>
      <c r="D103" s="37"/>
      <c r="E103" s="38"/>
      <c r="F103" s="177"/>
      <c r="G103" s="178"/>
      <c r="H103" s="178"/>
      <c r="I103" s="178"/>
      <c r="J103" s="178"/>
      <c r="K103" s="178"/>
      <c r="L103" s="178"/>
      <c r="M103" s="179"/>
    </row>
    <row r="104" spans="1:14" ht="14.25" customHeight="1">
      <c r="A104" s="2212"/>
      <c r="B104" s="2213"/>
      <c r="C104" s="1015">
        <v>2020</v>
      </c>
      <c r="D104" s="37"/>
      <c r="E104" s="38"/>
      <c r="F104" s="177"/>
      <c r="G104" s="178"/>
      <c r="H104" s="178"/>
      <c r="I104" s="178"/>
      <c r="J104" s="178"/>
      <c r="K104" s="178"/>
      <c r="L104" s="178"/>
      <c r="M104" s="179"/>
    </row>
    <row r="105" spans="1:14" ht="19.5" customHeight="1" thickBot="1">
      <c r="A105" s="2214"/>
      <c r="B105" s="2215"/>
      <c r="C105" s="1019" t="s">
        <v>13</v>
      </c>
      <c r="D105" s="1038">
        <f>SUM(D98:D104)</f>
        <v>3</v>
      </c>
      <c r="E105" s="1035">
        <f t="shared" ref="E105:K105" si="8">SUM(E98:E104)</f>
        <v>16</v>
      </c>
      <c r="F105" s="1049">
        <f t="shared" si="8"/>
        <v>0</v>
      </c>
      <c r="G105" s="1035">
        <f t="shared" si="8"/>
        <v>0</v>
      </c>
      <c r="H105" s="1035">
        <f t="shared" si="8"/>
        <v>0</v>
      </c>
      <c r="I105" s="1035">
        <f>SUM(I98:I104)</f>
        <v>0</v>
      </c>
      <c r="J105" s="1035">
        <f t="shared" si="8"/>
        <v>0</v>
      </c>
      <c r="K105" s="1035">
        <f t="shared" si="8"/>
        <v>0</v>
      </c>
      <c r="L105" s="1035">
        <f>SUM(L98:L104)</f>
        <v>0</v>
      </c>
      <c r="M105" s="1039">
        <f>SUM(M98:M104)</f>
        <v>3</v>
      </c>
    </row>
    <row r="106" spans="1:14" ht="15.75" thickBot="1">
      <c r="A106" s="183"/>
      <c r="B106" s="183"/>
      <c r="C106" s="184"/>
      <c r="D106" s="7"/>
      <c r="E106" s="7"/>
      <c r="H106" s="185"/>
      <c r="I106" s="185"/>
      <c r="J106" s="185"/>
      <c r="K106" s="185"/>
      <c r="L106" s="185"/>
      <c r="M106" s="185"/>
    </row>
    <row r="107" spans="1:14" ht="15" customHeight="1">
      <c r="A107" s="2208" t="s">
        <v>77</v>
      </c>
      <c r="B107" s="2210" t="s">
        <v>179</v>
      </c>
      <c r="C107" s="2216" t="s">
        <v>9</v>
      </c>
      <c r="D107" s="1926" t="s">
        <v>78</v>
      </c>
      <c r="E107" s="162" t="s">
        <v>79</v>
      </c>
      <c r="F107" s="549"/>
      <c r="G107" s="549"/>
      <c r="H107" s="549"/>
      <c r="I107" s="549"/>
      <c r="J107" s="549"/>
      <c r="K107" s="549"/>
      <c r="L107" s="550"/>
      <c r="M107" s="185"/>
    </row>
    <row r="108" spans="1:14" ht="112.5" customHeight="1">
      <c r="A108" s="2209"/>
      <c r="B108" s="2211"/>
      <c r="C108" s="2217"/>
      <c r="D108" s="1927"/>
      <c r="E108" s="168" t="s">
        <v>14</v>
      </c>
      <c r="F108" s="169" t="s">
        <v>74</v>
      </c>
      <c r="G108" s="170" t="s">
        <v>61</v>
      </c>
      <c r="H108" s="171" t="s">
        <v>62</v>
      </c>
      <c r="I108" s="171" t="s">
        <v>63</v>
      </c>
      <c r="J108" s="172" t="s">
        <v>75</v>
      </c>
      <c r="K108" s="170" t="s">
        <v>64</v>
      </c>
      <c r="L108" s="173" t="s">
        <v>65</v>
      </c>
      <c r="M108" s="185"/>
      <c r="N108" s="185"/>
    </row>
    <row r="109" spans="1:14">
      <c r="A109" s="1898" t="s">
        <v>292</v>
      </c>
      <c r="B109" s="2218"/>
      <c r="C109" s="1055">
        <v>2014</v>
      </c>
      <c r="D109" s="31"/>
      <c r="E109" s="174"/>
      <c r="F109" s="175"/>
      <c r="G109" s="175"/>
      <c r="H109" s="175"/>
      <c r="I109" s="175"/>
      <c r="J109" s="175"/>
      <c r="K109" s="175"/>
      <c r="L109" s="176"/>
      <c r="M109" s="185"/>
      <c r="N109" s="185"/>
    </row>
    <row r="110" spans="1:14">
      <c r="A110" s="1891"/>
      <c r="B110" s="2218"/>
      <c r="C110" s="1056">
        <v>2015</v>
      </c>
      <c r="D110" s="38"/>
      <c r="E110" s="177"/>
      <c r="F110" s="178"/>
      <c r="G110" s="178"/>
      <c r="H110" s="178"/>
      <c r="I110" s="178"/>
      <c r="J110" s="178"/>
      <c r="K110" s="178"/>
      <c r="L110" s="179"/>
      <c r="M110" s="185"/>
      <c r="N110" s="185"/>
    </row>
    <row r="111" spans="1:14">
      <c r="A111" s="1891"/>
      <c r="B111" s="2218"/>
      <c r="C111" s="1056">
        <v>2016</v>
      </c>
      <c r="D111" s="38"/>
      <c r="E111" s="177"/>
      <c r="F111" s="178"/>
      <c r="G111" s="178"/>
      <c r="H111" s="178"/>
      <c r="I111" s="178"/>
      <c r="J111" s="178"/>
      <c r="K111" s="178"/>
      <c r="L111" s="179"/>
      <c r="M111" s="185"/>
      <c r="N111" s="185"/>
    </row>
    <row r="112" spans="1:14">
      <c r="A112" s="1891"/>
      <c r="B112" s="2218"/>
      <c r="C112" s="1056">
        <v>2017</v>
      </c>
      <c r="D112" s="38"/>
      <c r="E112" s="177"/>
      <c r="F112" s="178"/>
      <c r="G112" s="178"/>
      <c r="H112" s="178"/>
      <c r="I112" s="178"/>
      <c r="J112" s="178"/>
      <c r="K112" s="178"/>
      <c r="L112" s="179"/>
      <c r="M112" s="185"/>
      <c r="N112" s="185"/>
    </row>
    <row r="113" spans="1:14">
      <c r="A113" s="1891"/>
      <c r="B113" s="2218"/>
      <c r="C113" s="1056">
        <v>2018</v>
      </c>
      <c r="D113" s="38"/>
      <c r="E113" s="177"/>
      <c r="F113" s="178"/>
      <c r="G113" s="178"/>
      <c r="H113" s="178"/>
      <c r="I113" s="178"/>
      <c r="J113" s="178"/>
      <c r="K113" s="178"/>
      <c r="L113" s="179"/>
      <c r="M113" s="185"/>
      <c r="N113" s="185"/>
    </row>
    <row r="114" spans="1:14">
      <c r="A114" s="1891"/>
      <c r="B114" s="2218"/>
      <c r="C114" s="1056">
        <v>2019</v>
      </c>
      <c r="D114" s="38"/>
      <c r="E114" s="177"/>
      <c r="F114" s="178"/>
      <c r="G114" s="178"/>
      <c r="H114" s="178"/>
      <c r="I114" s="178"/>
      <c r="J114" s="178"/>
      <c r="K114" s="178"/>
      <c r="L114" s="179"/>
      <c r="M114" s="185"/>
      <c r="N114" s="185"/>
    </row>
    <row r="115" spans="1:14">
      <c r="A115" s="1891"/>
      <c r="B115" s="2218"/>
      <c r="C115" s="1056">
        <v>2020</v>
      </c>
      <c r="D115" s="38"/>
      <c r="E115" s="177"/>
      <c r="F115" s="178"/>
      <c r="G115" s="178"/>
      <c r="H115" s="178"/>
      <c r="I115" s="178"/>
      <c r="J115" s="178"/>
      <c r="K115" s="178"/>
      <c r="L115" s="179"/>
      <c r="M115" s="185"/>
      <c r="N115" s="185"/>
    </row>
    <row r="116" spans="1:14" ht="25.5" customHeight="1" thickBot="1">
      <c r="A116" s="1893"/>
      <c r="B116" s="2219"/>
      <c r="C116" s="1057" t="s">
        <v>13</v>
      </c>
      <c r="D116" s="1035">
        <f t="shared" ref="D116:I116" si="9">SUM(D109:D115)</f>
        <v>0</v>
      </c>
      <c r="E116" s="1049">
        <f t="shared" si="9"/>
        <v>0</v>
      </c>
      <c r="F116" s="1035">
        <f t="shared" si="9"/>
        <v>0</v>
      </c>
      <c r="G116" s="1035">
        <f t="shared" si="9"/>
        <v>0</v>
      </c>
      <c r="H116" s="1035">
        <f t="shared" si="9"/>
        <v>0</v>
      </c>
      <c r="I116" s="1035">
        <f t="shared" si="9"/>
        <v>0</v>
      </c>
      <c r="J116" s="1035"/>
      <c r="K116" s="1035">
        <f>SUM(K109:K115)</f>
        <v>0</v>
      </c>
      <c r="L116" s="1039">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208" t="s">
        <v>81</v>
      </c>
      <c r="B118" s="2210" t="s">
        <v>179</v>
      </c>
      <c r="C118" s="2058" t="s">
        <v>9</v>
      </c>
      <c r="D118" s="1926" t="s">
        <v>82</v>
      </c>
      <c r="E118" s="162" t="s">
        <v>79</v>
      </c>
      <c r="F118" s="549"/>
      <c r="G118" s="549"/>
      <c r="H118" s="549"/>
      <c r="I118" s="549"/>
      <c r="J118" s="549"/>
      <c r="K118" s="549"/>
      <c r="L118" s="550"/>
      <c r="M118" s="185"/>
      <c r="N118" s="185"/>
    </row>
    <row r="119" spans="1:14" ht="120.75" customHeight="1">
      <c r="A119" s="2209"/>
      <c r="B119" s="2211"/>
      <c r="C119" s="1925"/>
      <c r="D119" s="1927"/>
      <c r="E119" s="168" t="s">
        <v>14</v>
      </c>
      <c r="F119" s="169" t="s">
        <v>74</v>
      </c>
      <c r="G119" s="170" t="s">
        <v>61</v>
      </c>
      <c r="H119" s="171" t="s">
        <v>62</v>
      </c>
      <c r="I119" s="171" t="s">
        <v>63</v>
      </c>
      <c r="J119" s="172" t="s">
        <v>75</v>
      </c>
      <c r="K119" s="170" t="s">
        <v>64</v>
      </c>
      <c r="L119" s="173" t="s">
        <v>65</v>
      </c>
      <c r="M119" s="185"/>
      <c r="N119" s="185"/>
    </row>
    <row r="120" spans="1:14">
      <c r="A120" s="1898" t="s">
        <v>292</v>
      </c>
      <c r="B120" s="1899"/>
      <c r="C120" s="106">
        <v>2014</v>
      </c>
      <c r="D120" s="31"/>
      <c r="E120" s="174"/>
      <c r="F120" s="175"/>
      <c r="G120" s="175"/>
      <c r="H120" s="175"/>
      <c r="I120" s="175"/>
      <c r="J120" s="175"/>
      <c r="K120" s="175"/>
      <c r="L120" s="176"/>
      <c r="M120" s="185"/>
      <c r="N120" s="185"/>
    </row>
    <row r="121" spans="1:14">
      <c r="A121" s="1891"/>
      <c r="B121" s="1899"/>
      <c r="C121" s="110">
        <v>2015</v>
      </c>
      <c r="D121" s="967"/>
      <c r="E121" s="177"/>
      <c r="F121" s="178"/>
      <c r="G121" s="178"/>
      <c r="H121" s="178"/>
      <c r="I121" s="178"/>
      <c r="J121" s="178"/>
      <c r="K121" s="178"/>
      <c r="L121" s="179"/>
      <c r="M121" s="185"/>
      <c r="N121" s="185"/>
    </row>
    <row r="122" spans="1:14">
      <c r="A122" s="1891"/>
      <c r="B122" s="1899"/>
      <c r="C122" s="110">
        <v>2016</v>
      </c>
      <c r="D122" s="38"/>
      <c r="E122" s="177"/>
      <c r="F122" s="178"/>
      <c r="G122" s="178"/>
      <c r="H122" s="178"/>
      <c r="I122" s="178"/>
      <c r="J122" s="178"/>
      <c r="K122" s="178"/>
      <c r="L122" s="179"/>
      <c r="M122" s="185"/>
      <c r="N122" s="185"/>
    </row>
    <row r="123" spans="1:14">
      <c r="A123" s="1891"/>
      <c r="B123" s="1899"/>
      <c r="C123" s="110">
        <v>2017</v>
      </c>
      <c r="D123" s="38"/>
      <c r="E123" s="177"/>
      <c r="F123" s="178"/>
      <c r="G123" s="178"/>
      <c r="H123" s="178"/>
      <c r="I123" s="178"/>
      <c r="J123" s="178"/>
      <c r="K123" s="178"/>
      <c r="L123" s="179"/>
      <c r="M123" s="185"/>
      <c r="N123" s="185"/>
    </row>
    <row r="124" spans="1:14">
      <c r="A124" s="1891"/>
      <c r="B124" s="1899"/>
      <c r="C124" s="110">
        <v>2018</v>
      </c>
      <c r="D124" s="38"/>
      <c r="E124" s="177"/>
      <c r="F124" s="178"/>
      <c r="G124" s="178"/>
      <c r="H124" s="178"/>
      <c r="I124" s="178"/>
      <c r="J124" s="178"/>
      <c r="K124" s="178"/>
      <c r="L124" s="179"/>
      <c r="M124" s="185"/>
      <c r="N124" s="185"/>
    </row>
    <row r="125" spans="1:14">
      <c r="A125" s="1891"/>
      <c r="B125" s="1899"/>
      <c r="C125" s="110">
        <v>2019</v>
      </c>
      <c r="D125" s="38"/>
      <c r="E125" s="177"/>
      <c r="F125" s="178"/>
      <c r="G125" s="178"/>
      <c r="H125" s="178"/>
      <c r="I125" s="178"/>
      <c r="J125" s="178"/>
      <c r="K125" s="178"/>
      <c r="L125" s="179"/>
      <c r="M125" s="185"/>
      <c r="N125" s="185"/>
    </row>
    <row r="126" spans="1:14">
      <c r="A126" s="1891"/>
      <c r="B126" s="1899"/>
      <c r="C126" s="110">
        <v>2020</v>
      </c>
      <c r="D126" s="38"/>
      <c r="E126" s="177"/>
      <c r="F126" s="178"/>
      <c r="G126" s="178"/>
      <c r="H126" s="178"/>
      <c r="I126" s="178"/>
      <c r="J126" s="178"/>
      <c r="K126" s="178"/>
      <c r="L126" s="179"/>
      <c r="M126" s="185"/>
      <c r="N126" s="185"/>
    </row>
    <row r="127" spans="1:14" ht="15.75" thickBot="1">
      <c r="A127" s="1915"/>
      <c r="B127" s="1900"/>
      <c r="C127" s="113" t="s">
        <v>13</v>
      </c>
      <c r="D127" s="1020">
        <f t="shared" ref="D127:I127" si="10">SUM(D120:D126)</f>
        <v>0</v>
      </c>
      <c r="E127" s="1021">
        <f t="shared" si="10"/>
        <v>0</v>
      </c>
      <c r="F127" s="1020">
        <f t="shared" si="10"/>
        <v>0</v>
      </c>
      <c r="G127" s="1020">
        <f t="shared" si="10"/>
        <v>0</v>
      </c>
      <c r="H127" s="1020">
        <f t="shared" si="10"/>
        <v>0</v>
      </c>
      <c r="I127" s="1020">
        <f t="shared" si="10"/>
        <v>0</v>
      </c>
      <c r="J127" s="1020"/>
      <c r="K127" s="1020">
        <f>SUM(K120:K126)</f>
        <v>0</v>
      </c>
      <c r="L127" s="102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208" t="s">
        <v>84</v>
      </c>
      <c r="B129" s="2210" t="s">
        <v>179</v>
      </c>
      <c r="C129" s="552" t="s">
        <v>9</v>
      </c>
      <c r="D129" s="189" t="s">
        <v>85</v>
      </c>
      <c r="E129" s="553"/>
      <c r="F129" s="553"/>
      <c r="G129" s="191"/>
      <c r="H129" s="185"/>
      <c r="I129" s="185"/>
      <c r="J129" s="185"/>
      <c r="K129" s="185"/>
      <c r="L129" s="185"/>
      <c r="M129" s="185"/>
      <c r="N129" s="185"/>
    </row>
    <row r="130" spans="1:16" ht="77.25" customHeight="1">
      <c r="A130" s="2209"/>
      <c r="B130" s="2211"/>
      <c r="C130" s="192"/>
      <c r="D130" s="166" t="s">
        <v>86</v>
      </c>
      <c r="E130" s="193" t="s">
        <v>87</v>
      </c>
      <c r="F130" s="167" t="s">
        <v>88</v>
      </c>
      <c r="G130" s="194" t="s">
        <v>13</v>
      </c>
      <c r="H130" s="185"/>
      <c r="I130" s="185"/>
      <c r="J130" s="185"/>
      <c r="K130" s="185"/>
      <c r="L130" s="185"/>
      <c r="M130" s="185"/>
      <c r="N130" s="185"/>
    </row>
    <row r="131" spans="1:16" ht="15" customHeight="1">
      <c r="A131" s="1874"/>
      <c r="B131" s="1855"/>
      <c r="C131" s="479">
        <v>2015</v>
      </c>
      <c r="D131" s="1001">
        <v>47</v>
      </c>
      <c r="E131" s="999"/>
      <c r="F131" s="999"/>
      <c r="G131" s="1058">
        <f t="shared" ref="G131:G136" si="11">SUM(D131:F131)</f>
        <v>47</v>
      </c>
      <c r="H131" s="185"/>
      <c r="I131" s="185"/>
      <c r="J131" s="185"/>
      <c r="K131" s="185"/>
      <c r="L131" s="185"/>
      <c r="M131" s="185"/>
      <c r="N131" s="185"/>
    </row>
    <row r="132" spans="1:16">
      <c r="A132" s="1854"/>
      <c r="B132" s="1855"/>
      <c r="C132" s="110">
        <v>2016</v>
      </c>
      <c r="D132" s="1059">
        <v>329</v>
      </c>
      <c r="E132" s="941"/>
      <c r="F132" s="941"/>
      <c r="G132" s="1058">
        <f t="shared" si="11"/>
        <v>329</v>
      </c>
      <c r="H132" s="185"/>
      <c r="I132" s="185"/>
      <c r="J132" s="185"/>
      <c r="K132" s="185"/>
      <c r="L132" s="185"/>
      <c r="M132" s="185"/>
      <c r="N132" s="185"/>
    </row>
    <row r="133" spans="1:16">
      <c r="A133" s="1854"/>
      <c r="B133" s="1855"/>
      <c r="C133" s="110">
        <v>2017</v>
      </c>
      <c r="D133" s="1001">
        <v>358</v>
      </c>
      <c r="E133" s="941"/>
      <c r="F133" s="941"/>
      <c r="G133" s="1058">
        <f>SUM(D133:F133)</f>
        <v>358</v>
      </c>
      <c r="H133" s="185"/>
      <c r="I133" s="185"/>
      <c r="J133" s="185"/>
      <c r="K133" s="185"/>
      <c r="L133" s="185"/>
      <c r="M133" s="185"/>
      <c r="N133" s="185"/>
    </row>
    <row r="134" spans="1:16">
      <c r="A134" s="1854"/>
      <c r="B134" s="1855"/>
      <c r="C134" s="110">
        <v>2018</v>
      </c>
      <c r="D134" s="940"/>
      <c r="E134" s="941"/>
      <c r="F134" s="941"/>
      <c r="G134" s="1058">
        <f t="shared" si="11"/>
        <v>0</v>
      </c>
      <c r="H134" s="185"/>
      <c r="I134" s="185"/>
      <c r="J134" s="185"/>
      <c r="K134" s="185"/>
      <c r="L134" s="185"/>
      <c r="M134" s="185"/>
      <c r="N134" s="185"/>
    </row>
    <row r="135" spans="1:16">
      <c r="A135" s="1854"/>
      <c r="B135" s="1855"/>
      <c r="C135" s="110">
        <v>2019</v>
      </c>
      <c r="D135" s="940"/>
      <c r="E135" s="941"/>
      <c r="F135" s="941"/>
      <c r="G135" s="1058">
        <f t="shared" si="11"/>
        <v>0</v>
      </c>
      <c r="H135" s="185"/>
      <c r="I135" s="185"/>
      <c r="J135" s="185"/>
      <c r="K135" s="185"/>
      <c r="L135" s="185"/>
      <c r="M135" s="185"/>
      <c r="N135" s="185"/>
    </row>
    <row r="136" spans="1:16">
      <c r="A136" s="1854"/>
      <c r="B136" s="1855"/>
      <c r="C136" s="110">
        <v>2020</v>
      </c>
      <c r="D136" s="940"/>
      <c r="E136" s="941"/>
      <c r="F136" s="941"/>
      <c r="G136" s="1058">
        <f t="shared" si="11"/>
        <v>0</v>
      </c>
      <c r="H136" s="185"/>
      <c r="I136" s="185"/>
      <c r="J136" s="185"/>
      <c r="K136" s="185"/>
      <c r="L136" s="185"/>
      <c r="M136" s="185"/>
      <c r="N136" s="185"/>
    </row>
    <row r="137" spans="1:16" ht="17.25" customHeight="1" thickBot="1">
      <c r="A137" s="1856"/>
      <c r="B137" s="1857"/>
      <c r="C137" s="113" t="s">
        <v>13</v>
      </c>
      <c r="D137" s="1038">
        <f>SUM(D131:D136)</f>
        <v>734</v>
      </c>
      <c r="E137" s="1038">
        <f t="shared" ref="E137:F137" si="12">SUM(E131:E136)</f>
        <v>0</v>
      </c>
      <c r="F137" s="1038">
        <f t="shared" si="12"/>
        <v>0</v>
      </c>
      <c r="G137" s="1060">
        <f>SUM(G131:G136)</f>
        <v>734</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050" t="s">
        <v>91</v>
      </c>
      <c r="B142" s="2048" t="s">
        <v>179</v>
      </c>
      <c r="C142" s="2043" t="s">
        <v>9</v>
      </c>
      <c r="D142" s="554" t="s">
        <v>92</v>
      </c>
      <c r="E142" s="555"/>
      <c r="F142" s="555"/>
      <c r="G142" s="555"/>
      <c r="H142" s="555"/>
      <c r="I142" s="556"/>
      <c r="J142" s="2044" t="s">
        <v>93</v>
      </c>
      <c r="K142" s="2045"/>
      <c r="L142" s="2045"/>
      <c r="M142" s="2045"/>
      <c r="N142" s="2046"/>
      <c r="O142" s="165"/>
      <c r="P142" s="165"/>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c r="B144" s="1899"/>
      <c r="C144" s="106">
        <v>2014</v>
      </c>
      <c r="D144" s="30"/>
      <c r="E144" s="30"/>
      <c r="F144" s="31"/>
      <c r="G144" s="175"/>
      <c r="H144" s="175"/>
      <c r="I144" s="213">
        <f>D144+F144+G144+H144</f>
        <v>0</v>
      </c>
      <c r="J144" s="214"/>
      <c r="K144" s="215"/>
      <c r="L144" s="214"/>
      <c r="M144" s="215"/>
      <c r="N144" s="216"/>
      <c r="O144" s="165"/>
      <c r="P144" s="165"/>
    </row>
    <row r="145" spans="1:16" ht="19.5" customHeight="1">
      <c r="A145" s="1891"/>
      <c r="B145" s="1899"/>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1891"/>
      <c r="B146" s="1899"/>
      <c r="C146" s="110">
        <v>2016</v>
      </c>
      <c r="D146" s="37"/>
      <c r="E146" s="37"/>
      <c r="F146" s="38"/>
      <c r="G146" s="178"/>
      <c r="H146" s="178"/>
      <c r="I146" s="213">
        <f t="shared" si="13"/>
        <v>0</v>
      </c>
      <c r="J146" s="217"/>
      <c r="K146" s="218"/>
      <c r="L146" s="217"/>
      <c r="M146" s="218"/>
      <c r="N146" s="219"/>
      <c r="O146" s="165"/>
      <c r="P146" s="165"/>
    </row>
    <row r="147" spans="1:16" ht="17.25" customHeight="1">
      <c r="A147" s="1891"/>
      <c r="B147" s="1899"/>
      <c r="C147" s="110">
        <v>2017</v>
      </c>
      <c r="D147" s="37"/>
      <c r="E147" s="37"/>
      <c r="F147" s="38"/>
      <c r="G147" s="178"/>
      <c r="H147" s="178"/>
      <c r="I147" s="213">
        <f t="shared" si="13"/>
        <v>0</v>
      </c>
      <c r="J147" s="217"/>
      <c r="K147" s="218"/>
      <c r="L147" s="217"/>
      <c r="M147" s="218"/>
      <c r="N147" s="219"/>
      <c r="O147" s="165"/>
      <c r="P147" s="165"/>
    </row>
    <row r="148" spans="1:16" ht="19.5" customHeight="1">
      <c r="A148" s="1891"/>
      <c r="B148" s="1899"/>
      <c r="C148" s="110">
        <v>2018</v>
      </c>
      <c r="D148" s="37"/>
      <c r="E148" s="37"/>
      <c r="F148" s="38"/>
      <c r="G148" s="178"/>
      <c r="H148" s="178"/>
      <c r="I148" s="213">
        <f t="shared" si="13"/>
        <v>0</v>
      </c>
      <c r="J148" s="217"/>
      <c r="K148" s="218"/>
      <c r="L148" s="217"/>
      <c r="M148" s="218"/>
      <c r="N148" s="219"/>
      <c r="O148" s="165"/>
      <c r="P148" s="165"/>
    </row>
    <row r="149" spans="1:16" ht="19.5" customHeight="1">
      <c r="A149" s="1891"/>
      <c r="B149" s="1899"/>
      <c r="C149" s="110">
        <v>2019</v>
      </c>
      <c r="D149" s="37"/>
      <c r="E149" s="37"/>
      <c r="F149" s="38"/>
      <c r="G149" s="178"/>
      <c r="H149" s="178"/>
      <c r="I149" s="213">
        <f t="shared" si="13"/>
        <v>0</v>
      </c>
      <c r="J149" s="217"/>
      <c r="K149" s="218"/>
      <c r="L149" s="217"/>
      <c r="M149" s="218"/>
      <c r="N149" s="219"/>
      <c r="O149" s="165"/>
      <c r="P149" s="165"/>
    </row>
    <row r="150" spans="1:16" ht="18.75" customHeight="1">
      <c r="A150" s="1891"/>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2047" t="s">
        <v>105</v>
      </c>
      <c r="B153" s="2048" t="s">
        <v>179</v>
      </c>
      <c r="C153" s="2049" t="s">
        <v>9</v>
      </c>
      <c r="D153" s="557" t="s">
        <v>106</v>
      </c>
      <c r="E153" s="557"/>
      <c r="F153" s="558"/>
      <c r="G153" s="558"/>
      <c r="H153" s="557" t="s">
        <v>107</v>
      </c>
      <c r="I153" s="557"/>
      <c r="J153" s="559"/>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1898"/>
      <c r="B155" s="1899"/>
      <c r="C155" s="233">
        <v>2014</v>
      </c>
      <c r="D155" s="214"/>
      <c r="E155" s="175"/>
      <c r="F155" s="215"/>
      <c r="G155" s="213">
        <f>SUM(D155:F155)</f>
        <v>0</v>
      </c>
      <c r="H155" s="214"/>
      <c r="I155" s="175"/>
      <c r="J155" s="176"/>
      <c r="O155" s="165"/>
      <c r="P155" s="165"/>
    </row>
    <row r="156" spans="1:16" ht="19.5" customHeight="1">
      <c r="A156" s="1891"/>
      <c r="B156" s="1899"/>
      <c r="C156" s="234">
        <v>2015</v>
      </c>
      <c r="D156" s="217"/>
      <c r="E156" s="178"/>
      <c r="F156" s="218"/>
      <c r="G156" s="213">
        <f t="shared" ref="G156:G161" si="15">SUM(D156:F156)</f>
        <v>0</v>
      </c>
      <c r="H156" s="217"/>
      <c r="I156" s="178"/>
      <c r="J156" s="179"/>
      <c r="O156" s="165"/>
      <c r="P156" s="165"/>
    </row>
    <row r="157" spans="1:16" ht="17.25" customHeight="1">
      <c r="A157" s="1891"/>
      <c r="B157" s="1899"/>
      <c r="C157" s="234">
        <v>2016</v>
      </c>
      <c r="D157" s="217"/>
      <c r="E157" s="178"/>
      <c r="F157" s="218"/>
      <c r="G157" s="213">
        <f t="shared" si="15"/>
        <v>0</v>
      </c>
      <c r="H157" s="217"/>
      <c r="I157" s="178"/>
      <c r="J157" s="179"/>
      <c r="O157" s="165"/>
      <c r="P157" s="165"/>
    </row>
    <row r="158" spans="1:16" ht="15" customHeight="1">
      <c r="A158" s="1891"/>
      <c r="B158" s="1899"/>
      <c r="C158" s="234">
        <v>2017</v>
      </c>
      <c r="D158" s="217"/>
      <c r="E158" s="178"/>
      <c r="F158" s="218"/>
      <c r="G158" s="213">
        <f t="shared" si="15"/>
        <v>0</v>
      </c>
      <c r="H158" s="217"/>
      <c r="I158" s="178"/>
      <c r="J158" s="179"/>
      <c r="O158" s="165"/>
      <c r="P158" s="165"/>
    </row>
    <row r="159" spans="1:16" ht="19.5" customHeight="1">
      <c r="A159" s="1891"/>
      <c r="B159" s="1899"/>
      <c r="C159" s="234">
        <v>2018</v>
      </c>
      <c r="D159" s="217"/>
      <c r="E159" s="178"/>
      <c r="F159" s="218"/>
      <c r="G159" s="213">
        <f t="shared" si="15"/>
        <v>0</v>
      </c>
      <c r="H159" s="217"/>
      <c r="I159" s="178"/>
      <c r="J159" s="179"/>
      <c r="O159" s="165"/>
      <c r="P159" s="165"/>
    </row>
    <row r="160" spans="1:16" ht="15" customHeight="1">
      <c r="A160" s="1891"/>
      <c r="B160" s="1899"/>
      <c r="C160" s="234">
        <v>2019</v>
      </c>
      <c r="D160" s="217"/>
      <c r="E160" s="178"/>
      <c r="F160" s="218"/>
      <c r="G160" s="213">
        <f t="shared" si="15"/>
        <v>0</v>
      </c>
      <c r="H160" s="217"/>
      <c r="I160" s="178"/>
      <c r="J160" s="179"/>
      <c r="O160" s="165"/>
      <c r="P160" s="165"/>
    </row>
    <row r="161" spans="1:18" ht="17.25" customHeight="1">
      <c r="A161" s="1891"/>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560"/>
      <c r="F163" s="165"/>
      <c r="G163" s="165"/>
      <c r="H163" s="165"/>
      <c r="I163" s="165"/>
      <c r="J163" s="241"/>
      <c r="K163" s="242"/>
    </row>
    <row r="164" spans="1:18" ht="95.25" customHeight="1">
      <c r="A164" s="243" t="s">
        <v>115</v>
      </c>
      <c r="B164" s="405" t="s">
        <v>181</v>
      </c>
      <c r="C164" s="245" t="s">
        <v>9</v>
      </c>
      <c r="D164" s="246" t="s">
        <v>117</v>
      </c>
      <c r="E164" s="246" t="s">
        <v>118</v>
      </c>
      <c r="F164" s="561" t="s">
        <v>119</v>
      </c>
      <c r="G164" s="246" t="s">
        <v>120</v>
      </c>
      <c r="H164" s="246" t="s">
        <v>121</v>
      </c>
      <c r="I164" s="248" t="s">
        <v>122</v>
      </c>
      <c r="J164" s="249" t="s">
        <v>123</v>
      </c>
      <c r="K164" s="249" t="s">
        <v>124</v>
      </c>
      <c r="L164" s="406"/>
    </row>
    <row r="165" spans="1:18" ht="15.75" customHeight="1">
      <c r="A165" s="1878"/>
      <c r="B165" s="1879"/>
      <c r="C165" s="251">
        <v>2014</v>
      </c>
      <c r="D165" s="175"/>
      <c r="E165" s="175"/>
      <c r="F165" s="175"/>
      <c r="G165" s="175"/>
      <c r="H165" s="175"/>
      <c r="I165" s="176"/>
      <c r="J165" s="252">
        <f>SUM(D165,F165,H165)</f>
        <v>0</v>
      </c>
      <c r="K165" s="253">
        <f>SUM(E165,G165,I165)</f>
        <v>0</v>
      </c>
      <c r="L165" s="406"/>
    </row>
    <row r="166" spans="1:18">
      <c r="A166" s="1880"/>
      <c r="B166" s="1881"/>
      <c r="C166" s="254">
        <v>2015</v>
      </c>
      <c r="D166" s="255"/>
      <c r="E166" s="255"/>
      <c r="F166" s="255"/>
      <c r="G166" s="255"/>
      <c r="H166" s="255"/>
      <c r="I166" s="256"/>
      <c r="J166" s="407">
        <f t="shared" ref="J166:K171" si="17">SUM(D166,F166,H166)</f>
        <v>0</v>
      </c>
      <c r="K166" s="408">
        <f t="shared" si="17"/>
        <v>0</v>
      </c>
      <c r="L166" s="406"/>
    </row>
    <row r="167" spans="1:18">
      <c r="A167" s="1880"/>
      <c r="B167" s="1881"/>
      <c r="C167" s="254">
        <v>2016</v>
      </c>
      <c r="D167" s="255"/>
      <c r="E167" s="255"/>
      <c r="F167" s="255"/>
      <c r="G167" s="255"/>
      <c r="H167" s="255"/>
      <c r="I167" s="256"/>
      <c r="J167" s="407">
        <f t="shared" si="17"/>
        <v>0</v>
      </c>
      <c r="K167" s="408">
        <f t="shared" si="17"/>
        <v>0</v>
      </c>
    </row>
    <row r="168" spans="1:18">
      <c r="A168" s="1880"/>
      <c r="B168" s="1881"/>
      <c r="C168" s="254">
        <v>2017</v>
      </c>
      <c r="D168" s="255"/>
      <c r="E168" s="165"/>
      <c r="F168" s="255"/>
      <c r="G168" s="255"/>
      <c r="H168" s="255"/>
      <c r="I168" s="256"/>
      <c r="J168" s="407">
        <f t="shared" si="17"/>
        <v>0</v>
      </c>
      <c r="K168" s="408">
        <f t="shared" si="17"/>
        <v>0</v>
      </c>
    </row>
    <row r="169" spans="1:18">
      <c r="A169" s="1880"/>
      <c r="B169" s="1881"/>
      <c r="C169" s="262">
        <v>2018</v>
      </c>
      <c r="D169" s="255"/>
      <c r="E169" s="255"/>
      <c r="F169" s="255"/>
      <c r="G169" s="263"/>
      <c r="H169" s="255"/>
      <c r="I169" s="256"/>
      <c r="J169" s="407">
        <f t="shared" si="17"/>
        <v>0</v>
      </c>
      <c r="K169" s="408">
        <f t="shared" si="17"/>
        <v>0</v>
      </c>
      <c r="L169" s="406"/>
    </row>
    <row r="170" spans="1:18">
      <c r="A170" s="1880"/>
      <c r="B170" s="1881"/>
      <c r="C170" s="254">
        <v>2019</v>
      </c>
      <c r="D170" s="165"/>
      <c r="E170" s="255"/>
      <c r="F170" s="255"/>
      <c r="G170" s="255"/>
      <c r="H170" s="263"/>
      <c r="I170" s="256"/>
      <c r="J170" s="407">
        <f t="shared" si="17"/>
        <v>0</v>
      </c>
      <c r="K170" s="408">
        <f t="shared" si="17"/>
        <v>0</v>
      </c>
      <c r="L170" s="406"/>
    </row>
    <row r="171" spans="1:18">
      <c r="A171" s="1880"/>
      <c r="B171" s="1881"/>
      <c r="C171" s="262">
        <v>2020</v>
      </c>
      <c r="D171" s="255"/>
      <c r="E171" s="255"/>
      <c r="F171" s="255"/>
      <c r="G171" s="255"/>
      <c r="H171" s="255"/>
      <c r="I171" s="256"/>
      <c r="J171" s="407">
        <f t="shared" si="17"/>
        <v>0</v>
      </c>
      <c r="K171" s="408">
        <f t="shared" si="17"/>
        <v>0</v>
      </c>
      <c r="L171" s="406"/>
    </row>
    <row r="172" spans="1:18" ht="41.25" customHeight="1" thickBot="1">
      <c r="A172" s="1882"/>
      <c r="B172" s="1883"/>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406"/>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199" t="s">
        <v>127</v>
      </c>
      <c r="B176" s="2189" t="s">
        <v>182</v>
      </c>
      <c r="C176" s="2201" t="s">
        <v>9</v>
      </c>
      <c r="D176" s="273" t="s">
        <v>128</v>
      </c>
      <c r="E176" s="562"/>
      <c r="F176" s="562"/>
      <c r="G176" s="563"/>
      <c r="H176" s="276"/>
      <c r="I176" s="1888" t="s">
        <v>129</v>
      </c>
      <c r="J176" s="2041"/>
      <c r="K176" s="2041"/>
      <c r="L176" s="2041"/>
      <c r="M176" s="2041"/>
      <c r="N176" s="2041"/>
      <c r="O176" s="2042"/>
    </row>
    <row r="177" spans="1:15" s="56" customFormat="1" ht="129.75" customHeight="1">
      <c r="A177" s="2200"/>
      <c r="B177" s="2190"/>
      <c r="C177" s="2202"/>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27" customHeight="1">
      <c r="A178" s="2203" t="s">
        <v>294</v>
      </c>
      <c r="B178" s="2204"/>
      <c r="C178" s="1014">
        <v>2014</v>
      </c>
      <c r="D178" s="30"/>
      <c r="E178" s="31"/>
      <c r="F178" s="31"/>
      <c r="G178" s="1061">
        <f>SUM(D178:F178)</f>
        <v>0</v>
      </c>
      <c r="H178" s="155"/>
      <c r="I178" s="155"/>
      <c r="J178" s="31"/>
      <c r="K178" s="31"/>
      <c r="L178" s="31"/>
      <c r="M178" s="31"/>
      <c r="N178" s="31"/>
      <c r="O178" s="34"/>
    </row>
    <row r="179" spans="1:15" ht="30" customHeight="1">
      <c r="A179" s="2205"/>
      <c r="B179" s="2204"/>
      <c r="C179" s="1015">
        <v>2015</v>
      </c>
      <c r="D179" s="1062">
        <v>3</v>
      </c>
      <c r="E179" s="962">
        <v>2</v>
      </c>
      <c r="F179" s="962">
        <v>1</v>
      </c>
      <c r="G179" s="1063">
        <f t="shared" ref="G179:G184" si="19">SUM(D179:F179)</f>
        <v>6</v>
      </c>
      <c r="H179" s="1064">
        <v>2</v>
      </c>
      <c r="I179" s="1065">
        <v>0</v>
      </c>
      <c r="J179" s="935">
        <v>1</v>
      </c>
      <c r="K179" s="935">
        <v>0</v>
      </c>
      <c r="L179" s="935">
        <v>1</v>
      </c>
      <c r="M179" s="935">
        <v>1</v>
      </c>
      <c r="N179" s="935">
        <v>0</v>
      </c>
      <c r="O179" s="1066">
        <v>3</v>
      </c>
    </row>
    <row r="180" spans="1:15" ht="32.25" customHeight="1">
      <c r="A180" s="2205"/>
      <c r="B180" s="2204"/>
      <c r="C180" s="1015">
        <v>2016</v>
      </c>
      <c r="D180" s="940">
        <v>26</v>
      </c>
      <c r="E180" s="941">
        <v>2</v>
      </c>
      <c r="F180" s="941">
        <v>0</v>
      </c>
      <c r="G180" s="1063">
        <f t="shared" si="19"/>
        <v>28</v>
      </c>
      <c r="H180" s="1067">
        <v>35</v>
      </c>
      <c r="I180" s="1017">
        <v>0</v>
      </c>
      <c r="J180" s="967">
        <v>3</v>
      </c>
      <c r="K180" s="967">
        <v>0</v>
      </c>
      <c r="L180" s="967">
        <v>0</v>
      </c>
      <c r="M180" s="967">
        <v>11</v>
      </c>
      <c r="N180" s="967">
        <v>0</v>
      </c>
      <c r="O180" s="1018">
        <v>14</v>
      </c>
    </row>
    <row r="181" spans="1:15" ht="33" customHeight="1">
      <c r="A181" s="2205"/>
      <c r="B181" s="2204"/>
      <c r="C181" s="1015">
        <v>2017</v>
      </c>
      <c r="D181" s="1034">
        <v>17</v>
      </c>
      <c r="E181" s="967">
        <v>2</v>
      </c>
      <c r="F181" s="967">
        <v>9</v>
      </c>
      <c r="G181" s="1061">
        <f t="shared" si="19"/>
        <v>28</v>
      </c>
      <c r="H181" s="1068">
        <v>100</v>
      </c>
      <c r="I181" s="1017">
        <v>0</v>
      </c>
      <c r="J181" s="967">
        <v>6</v>
      </c>
      <c r="K181" s="967">
        <v>1</v>
      </c>
      <c r="L181" s="967">
        <v>10</v>
      </c>
      <c r="M181" s="967">
        <v>4</v>
      </c>
      <c r="N181" s="967">
        <v>0</v>
      </c>
      <c r="O181" s="1018">
        <v>7</v>
      </c>
    </row>
    <row r="182" spans="1:15" ht="32.25" customHeight="1">
      <c r="A182" s="2205"/>
      <c r="B182" s="2204"/>
      <c r="C182" s="1015">
        <v>2018</v>
      </c>
      <c r="D182" s="37"/>
      <c r="E182" s="38"/>
      <c r="F182" s="38"/>
      <c r="G182" s="1061">
        <f t="shared" si="19"/>
        <v>0</v>
      </c>
      <c r="H182" s="411"/>
      <c r="I182" s="1017"/>
      <c r="J182" s="967"/>
      <c r="K182" s="967"/>
      <c r="L182" s="967"/>
      <c r="M182" s="967"/>
      <c r="N182" s="967"/>
      <c r="O182" s="1018"/>
    </row>
    <row r="183" spans="1:15" ht="40.5" customHeight="1">
      <c r="A183" s="2205"/>
      <c r="B183" s="2204"/>
      <c r="C183" s="1015">
        <v>2019</v>
      </c>
      <c r="D183" s="37"/>
      <c r="E183" s="38"/>
      <c r="F183" s="38"/>
      <c r="G183" s="1061">
        <f t="shared" si="19"/>
        <v>0</v>
      </c>
      <c r="H183" s="411"/>
      <c r="I183" s="1017"/>
      <c r="J183" s="967"/>
      <c r="K183" s="967"/>
      <c r="L183" s="967"/>
      <c r="M183" s="967"/>
      <c r="N183" s="967"/>
      <c r="O183" s="1018"/>
    </row>
    <row r="184" spans="1:15" ht="64.5" customHeight="1">
      <c r="A184" s="2205"/>
      <c r="B184" s="2204"/>
      <c r="C184" s="1015">
        <v>2020</v>
      </c>
      <c r="D184" s="37"/>
      <c r="E184" s="38"/>
      <c r="F184" s="38"/>
      <c r="G184" s="1061">
        <f t="shared" si="19"/>
        <v>0</v>
      </c>
      <c r="H184" s="411"/>
      <c r="I184" s="1017"/>
      <c r="J184" s="967"/>
      <c r="K184" s="967"/>
      <c r="L184" s="967"/>
      <c r="M184" s="967"/>
      <c r="N184" s="967"/>
      <c r="O184" s="1018"/>
    </row>
    <row r="185" spans="1:15" ht="78.75" customHeight="1" thickBot="1">
      <c r="A185" s="2206"/>
      <c r="B185" s="2207"/>
      <c r="C185" s="1057" t="s">
        <v>13</v>
      </c>
      <c r="D185" s="1038">
        <f t="shared" ref="D185:O185" si="20">SUM(D178:D184)</f>
        <v>46</v>
      </c>
      <c r="E185" s="1035">
        <f t="shared" si="20"/>
        <v>6</v>
      </c>
      <c r="F185" s="1035">
        <f t="shared" si="20"/>
        <v>10</v>
      </c>
      <c r="G185" s="1069">
        <f t="shared" si="20"/>
        <v>62</v>
      </c>
      <c r="H185" s="1070">
        <f t="shared" si="20"/>
        <v>137</v>
      </c>
      <c r="I185" s="1049">
        <f t="shared" si="20"/>
        <v>0</v>
      </c>
      <c r="J185" s="1035">
        <f t="shared" si="20"/>
        <v>10</v>
      </c>
      <c r="K185" s="1035">
        <f t="shared" si="20"/>
        <v>1</v>
      </c>
      <c r="L185" s="1035">
        <f t="shared" si="20"/>
        <v>11</v>
      </c>
      <c r="M185" s="1035">
        <f t="shared" si="20"/>
        <v>16</v>
      </c>
      <c r="N185" s="1035">
        <f t="shared" si="20"/>
        <v>0</v>
      </c>
      <c r="O185" s="1039">
        <f t="shared" si="20"/>
        <v>24</v>
      </c>
    </row>
    <row r="186" spans="1:15" ht="33" customHeight="1" thickBot="1"/>
    <row r="187" spans="1:15" ht="19.5" customHeight="1">
      <c r="A187" s="2187" t="s">
        <v>137</v>
      </c>
      <c r="B187" s="2189" t="s">
        <v>182</v>
      </c>
      <c r="C187" s="2191" t="s">
        <v>9</v>
      </c>
      <c r="D187" s="1867" t="s">
        <v>138</v>
      </c>
      <c r="E187" s="2038"/>
      <c r="F187" s="2038"/>
      <c r="G187" s="1869"/>
      <c r="H187" s="1870" t="s">
        <v>139</v>
      </c>
      <c r="I187" s="1865"/>
      <c r="J187" s="1865"/>
      <c r="K187" s="1865"/>
      <c r="L187" s="1871"/>
    </row>
    <row r="188" spans="1:15" ht="90">
      <c r="A188" s="2188"/>
      <c r="B188" s="2190"/>
      <c r="C188" s="2192"/>
      <c r="D188" s="286" t="s">
        <v>140</v>
      </c>
      <c r="E188" s="286" t="s">
        <v>141</v>
      </c>
      <c r="F188" s="286" t="s">
        <v>142</v>
      </c>
      <c r="G188" s="287" t="s">
        <v>13</v>
      </c>
      <c r="H188" s="288" t="s">
        <v>143</v>
      </c>
      <c r="I188" s="286" t="s">
        <v>144</v>
      </c>
      <c r="J188" s="286" t="s">
        <v>145</v>
      </c>
      <c r="K188" s="286" t="s">
        <v>146</v>
      </c>
      <c r="L188" s="289" t="s">
        <v>147</v>
      </c>
    </row>
    <row r="189" spans="1:15" ht="15" customHeight="1">
      <c r="A189" s="2193" t="s">
        <v>295</v>
      </c>
      <c r="B189" s="2194"/>
      <c r="C189" s="1071">
        <v>2014</v>
      </c>
      <c r="D189" s="133"/>
      <c r="E189" s="109"/>
      <c r="F189" s="109"/>
      <c r="G189" s="1072">
        <f>SUM(D189:F189)</f>
        <v>0</v>
      </c>
      <c r="H189" s="108"/>
      <c r="I189" s="109"/>
      <c r="J189" s="109"/>
      <c r="K189" s="109"/>
      <c r="L189" s="134"/>
    </row>
    <row r="190" spans="1:15">
      <c r="A190" s="2195"/>
      <c r="B190" s="2196"/>
      <c r="C190" s="1073">
        <v>2015</v>
      </c>
      <c r="D190" s="1074">
        <v>24</v>
      </c>
      <c r="E190" s="1075">
        <v>50</v>
      </c>
      <c r="F190" s="1075">
        <v>55</v>
      </c>
      <c r="G190" s="1076">
        <f t="shared" ref="G190:G195" si="21">SUM(D190:F190)</f>
        <v>129</v>
      </c>
      <c r="H190" s="1077">
        <v>0</v>
      </c>
      <c r="I190" s="1075">
        <v>32</v>
      </c>
      <c r="J190" s="1075">
        <v>0</v>
      </c>
      <c r="K190" s="1075">
        <v>0</v>
      </c>
      <c r="L190" s="1078">
        <v>97</v>
      </c>
    </row>
    <row r="191" spans="1:15">
      <c r="A191" s="2195"/>
      <c r="B191" s="2196"/>
      <c r="C191" s="1073">
        <v>2016</v>
      </c>
      <c r="D191" s="1079">
        <v>1012</v>
      </c>
      <c r="E191" s="1080">
        <v>49</v>
      </c>
      <c r="F191" s="1080">
        <v>70</v>
      </c>
      <c r="G191" s="1076">
        <f t="shared" si="21"/>
        <v>1131</v>
      </c>
      <c r="H191" s="1077">
        <v>2</v>
      </c>
      <c r="I191" s="1075">
        <v>260</v>
      </c>
      <c r="J191" s="1075">
        <v>0</v>
      </c>
      <c r="K191" s="1075">
        <v>22</v>
      </c>
      <c r="L191" s="1078">
        <v>847</v>
      </c>
    </row>
    <row r="192" spans="1:15" ht="36.75" customHeight="1">
      <c r="A192" s="2195"/>
      <c r="B192" s="2196"/>
      <c r="C192" s="979">
        <v>2017</v>
      </c>
      <c r="D192" s="1062">
        <v>1496</v>
      </c>
      <c r="E192" s="962">
        <v>51</v>
      </c>
      <c r="F192" s="1081">
        <v>724</v>
      </c>
      <c r="G192" s="1072">
        <f t="shared" si="21"/>
        <v>2271</v>
      </c>
      <c r="H192" s="1065">
        <v>0</v>
      </c>
      <c r="I192" s="935">
        <v>206</v>
      </c>
      <c r="J192" s="935">
        <v>0</v>
      </c>
      <c r="K192" s="935">
        <v>79</v>
      </c>
      <c r="L192" s="997">
        <v>1986</v>
      </c>
    </row>
    <row r="193" spans="1:14">
      <c r="A193" s="2195"/>
      <c r="B193" s="2196"/>
      <c r="C193" s="979">
        <v>2018</v>
      </c>
      <c r="D193" s="37"/>
      <c r="E193" s="38"/>
      <c r="F193" s="38"/>
      <c r="G193" s="1072">
        <f t="shared" si="21"/>
        <v>0</v>
      </c>
      <c r="H193" s="112"/>
      <c r="I193" s="38"/>
      <c r="J193" s="38"/>
      <c r="K193" s="38"/>
      <c r="L193" s="88"/>
    </row>
    <row r="194" spans="1:14" ht="17.25" customHeight="1">
      <c r="A194" s="2195"/>
      <c r="B194" s="2196"/>
      <c r="C194" s="979">
        <v>2019</v>
      </c>
      <c r="D194" s="37"/>
      <c r="E194" s="38"/>
      <c r="F194" s="38"/>
      <c r="G194" s="1072">
        <f t="shared" si="21"/>
        <v>0</v>
      </c>
      <c r="H194" s="112"/>
      <c r="I194" s="38"/>
      <c r="J194" s="38"/>
      <c r="K194" s="38"/>
      <c r="L194" s="88"/>
    </row>
    <row r="195" spans="1:14" ht="16.5" customHeight="1">
      <c r="A195" s="2195"/>
      <c r="B195" s="2196"/>
      <c r="C195" s="979">
        <v>2020</v>
      </c>
      <c r="D195" s="37"/>
      <c r="E195" s="38"/>
      <c r="F195" s="38"/>
      <c r="G195" s="1072">
        <f t="shared" si="21"/>
        <v>0</v>
      </c>
      <c r="H195" s="112"/>
      <c r="I195" s="38"/>
      <c r="J195" s="38"/>
      <c r="K195" s="38"/>
      <c r="L195" s="88"/>
    </row>
    <row r="196" spans="1:14" ht="257.25" customHeight="1" thickBot="1">
      <c r="A196" s="2197"/>
      <c r="B196" s="2198"/>
      <c r="C196" s="1082" t="s">
        <v>13</v>
      </c>
      <c r="D196" s="1038">
        <f t="shared" ref="D196:L196" si="22">SUM(D189:D195)</f>
        <v>2532</v>
      </c>
      <c r="E196" s="1035">
        <f t="shared" si="22"/>
        <v>150</v>
      </c>
      <c r="F196" s="1035">
        <f t="shared" si="22"/>
        <v>849</v>
      </c>
      <c r="G196" s="1083">
        <f t="shared" si="22"/>
        <v>3531</v>
      </c>
      <c r="H196" s="1049">
        <f t="shared" si="22"/>
        <v>2</v>
      </c>
      <c r="I196" s="1035">
        <f t="shared" si="22"/>
        <v>498</v>
      </c>
      <c r="J196" s="1035">
        <f t="shared" si="22"/>
        <v>0</v>
      </c>
      <c r="K196" s="1035">
        <f t="shared" si="22"/>
        <v>101</v>
      </c>
      <c r="L196" s="1039">
        <f t="shared" si="22"/>
        <v>2930</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1084" t="s">
        <v>150</v>
      </c>
      <c r="B201" s="1085" t="s">
        <v>182</v>
      </c>
      <c r="C201" s="1086" t="s">
        <v>9</v>
      </c>
      <c r="D201" s="299" t="s">
        <v>151</v>
      </c>
      <c r="E201" s="300" t="s">
        <v>152</v>
      </c>
      <c r="F201" s="300" t="s">
        <v>153</v>
      </c>
      <c r="G201" s="298" t="s">
        <v>154</v>
      </c>
      <c r="H201" s="570" t="s">
        <v>155</v>
      </c>
      <c r="I201" s="302" t="s">
        <v>156</v>
      </c>
      <c r="J201" s="303" t="s">
        <v>157</v>
      </c>
      <c r="K201" s="300" t="s">
        <v>158</v>
      </c>
      <c r="L201" s="304" t="s">
        <v>159</v>
      </c>
    </row>
    <row r="202" spans="1:14" ht="15" customHeight="1">
      <c r="A202" s="1854"/>
      <c r="B202" s="1855"/>
      <c r="C202" s="1087">
        <v>2014</v>
      </c>
      <c r="D202" s="30"/>
      <c r="E202" s="31"/>
      <c r="F202" s="31"/>
      <c r="G202" s="29"/>
      <c r="H202" s="305"/>
      <c r="I202" s="306"/>
      <c r="J202" s="307"/>
      <c r="K202" s="31"/>
      <c r="L202" s="34"/>
    </row>
    <row r="203" spans="1:14">
      <c r="A203" s="1854"/>
      <c r="B203" s="1855"/>
      <c r="C203" s="1088">
        <v>2015</v>
      </c>
      <c r="D203" s="934">
        <v>0</v>
      </c>
      <c r="E203" s="935">
        <v>0</v>
      </c>
      <c r="F203" s="935">
        <v>0</v>
      </c>
      <c r="G203" s="1089">
        <v>0</v>
      </c>
      <c r="H203" s="1090">
        <v>0</v>
      </c>
      <c r="I203" s="1091">
        <v>0</v>
      </c>
      <c r="J203" s="1092">
        <v>0</v>
      </c>
      <c r="K203" s="935">
        <v>0</v>
      </c>
      <c r="L203" s="1066">
        <v>0</v>
      </c>
    </row>
    <row r="204" spans="1:14">
      <c r="A204" s="1854"/>
      <c r="B204" s="1855"/>
      <c r="C204" s="1088">
        <v>2016</v>
      </c>
      <c r="D204" s="940">
        <v>2</v>
      </c>
      <c r="E204" s="941">
        <v>45</v>
      </c>
      <c r="F204" s="941">
        <v>5</v>
      </c>
      <c r="G204" s="933">
        <v>0</v>
      </c>
      <c r="H204" s="1093">
        <v>0</v>
      </c>
      <c r="I204" s="1094">
        <v>0</v>
      </c>
      <c r="J204" s="1095">
        <v>0</v>
      </c>
      <c r="K204" s="941">
        <v>0</v>
      </c>
      <c r="L204" s="1096">
        <v>0</v>
      </c>
    </row>
    <row r="205" spans="1:14">
      <c r="A205" s="1854"/>
      <c r="B205" s="1855"/>
      <c r="C205" s="1088">
        <v>2017</v>
      </c>
      <c r="D205" s="934">
        <v>1</v>
      </c>
      <c r="E205" s="935">
        <v>11</v>
      </c>
      <c r="F205" s="935">
        <v>1</v>
      </c>
      <c r="G205" s="1089">
        <v>0</v>
      </c>
      <c r="H205" s="1090">
        <v>0</v>
      </c>
      <c r="I205" s="1091">
        <v>0</v>
      </c>
      <c r="J205" s="1092">
        <v>0</v>
      </c>
      <c r="K205" s="935">
        <v>0</v>
      </c>
      <c r="L205" s="1066">
        <v>0</v>
      </c>
    </row>
    <row r="206" spans="1:14">
      <c r="A206" s="1854"/>
      <c r="B206" s="1855"/>
      <c r="C206" s="1088">
        <v>2018</v>
      </c>
      <c r="D206" s="37"/>
      <c r="E206" s="38"/>
      <c r="F206" s="38"/>
      <c r="G206" s="36"/>
      <c r="H206" s="308"/>
      <c r="I206" s="309"/>
      <c r="J206" s="310"/>
      <c r="K206" s="38"/>
      <c r="L206" s="88"/>
    </row>
    <row r="207" spans="1:14">
      <c r="A207" s="1854"/>
      <c r="B207" s="1855"/>
      <c r="C207" s="1088">
        <v>2019</v>
      </c>
      <c r="D207" s="37"/>
      <c r="E207" s="38"/>
      <c r="F207" s="38"/>
      <c r="G207" s="36"/>
      <c r="H207" s="308"/>
      <c r="I207" s="309"/>
      <c r="J207" s="310"/>
      <c r="K207" s="38"/>
      <c r="L207" s="88"/>
    </row>
    <row r="208" spans="1:14">
      <c r="A208" s="1854"/>
      <c r="B208" s="1855"/>
      <c r="C208" s="1088">
        <v>2020</v>
      </c>
      <c r="D208" s="311"/>
      <c r="E208" s="312"/>
      <c r="F208" s="312"/>
      <c r="G208" s="313"/>
      <c r="H208" s="314"/>
      <c r="I208" s="315"/>
      <c r="J208" s="316"/>
      <c r="K208" s="312"/>
      <c r="L208" s="317"/>
    </row>
    <row r="209" spans="1:12" ht="20.25" customHeight="1" thickBot="1">
      <c r="A209" s="1856"/>
      <c r="B209" s="1857"/>
      <c r="C209" s="1082" t="s">
        <v>13</v>
      </c>
      <c r="D209" s="1097">
        <f>SUM(D202:D208)</f>
        <v>3</v>
      </c>
      <c r="E209" s="1097">
        <f t="shared" ref="E209:L209" si="23">SUM(E202:E208)</f>
        <v>56</v>
      </c>
      <c r="F209" s="1097">
        <f t="shared" si="23"/>
        <v>6</v>
      </c>
      <c r="G209" s="1097">
        <f t="shared" si="23"/>
        <v>0</v>
      </c>
      <c r="H209" s="1097">
        <f t="shared" si="23"/>
        <v>0</v>
      </c>
      <c r="I209" s="1097">
        <f t="shared" si="23"/>
        <v>0</v>
      </c>
      <c r="J209" s="1097">
        <f t="shared" si="23"/>
        <v>0</v>
      </c>
      <c r="K209" s="1097">
        <f t="shared" si="23"/>
        <v>0</v>
      </c>
      <c r="L209" s="1097">
        <f t="shared" si="23"/>
        <v>0</v>
      </c>
    </row>
    <row r="211" spans="1:12" ht="15.75" thickBot="1"/>
    <row r="212" spans="1:12" ht="41.25" customHeight="1">
      <c r="A212" s="571" t="s">
        <v>161</v>
      </c>
      <c r="B212" s="1098" t="s">
        <v>162</v>
      </c>
      <c r="C212" s="1099">
        <v>2014</v>
      </c>
      <c r="D212" s="1100">
        <v>2015</v>
      </c>
      <c r="E212" s="1100">
        <v>2016</v>
      </c>
      <c r="F212" s="1100">
        <v>2017</v>
      </c>
      <c r="G212" s="1100">
        <v>2018</v>
      </c>
      <c r="H212" s="1100">
        <v>2019</v>
      </c>
      <c r="I212" s="1101">
        <v>2020</v>
      </c>
    </row>
    <row r="213" spans="1:12" ht="19.5" customHeight="1">
      <c r="A213" t="s">
        <v>163</v>
      </c>
      <c r="B213" s="2184" t="s">
        <v>296</v>
      </c>
      <c r="C213" s="72"/>
      <c r="D213" s="1102">
        <f>SUM(D214:D217)</f>
        <v>308227.84000000003</v>
      </c>
      <c r="E213" s="1103">
        <f>SUM(E214:E217)</f>
        <v>724807.32</v>
      </c>
      <c r="F213" s="1103">
        <f>SUM(F214:F217)</f>
        <v>926583.23</v>
      </c>
      <c r="G213" s="135"/>
      <c r="H213" s="135"/>
      <c r="I213" s="326"/>
    </row>
    <row r="214" spans="1:12">
      <c r="A214" t="s">
        <v>164</v>
      </c>
      <c r="B214" s="2185"/>
      <c r="C214" s="72"/>
      <c r="D214" s="1104">
        <v>115194.95</v>
      </c>
      <c r="E214" s="1105">
        <v>371011.33</v>
      </c>
      <c r="F214" s="1106">
        <v>343308.89</v>
      </c>
      <c r="G214" s="135"/>
      <c r="H214" s="135"/>
      <c r="I214" s="326"/>
    </row>
    <row r="215" spans="1:12">
      <c r="A215" t="s">
        <v>165</v>
      </c>
      <c r="B215" s="2185"/>
      <c r="C215" s="72"/>
      <c r="D215" s="1104">
        <v>0</v>
      </c>
      <c r="E215" s="1105">
        <v>7264.6</v>
      </c>
      <c r="F215" s="1106">
        <v>9348</v>
      </c>
      <c r="G215" s="135"/>
      <c r="H215" s="135"/>
      <c r="I215" s="326"/>
    </row>
    <row r="216" spans="1:12">
      <c r="A216" t="s">
        <v>166</v>
      </c>
      <c r="B216" s="2185"/>
      <c r="C216" s="72"/>
      <c r="D216" s="1104">
        <v>88358.06</v>
      </c>
      <c r="E216" s="1105">
        <v>144084.49</v>
      </c>
      <c r="F216" s="1106">
        <v>197512.39</v>
      </c>
      <c r="G216" s="135"/>
      <c r="H216" s="135"/>
      <c r="I216" s="326"/>
    </row>
    <row r="217" spans="1:12">
      <c r="A217" t="s">
        <v>167</v>
      </c>
      <c r="B217" s="2185"/>
      <c r="C217" s="72"/>
      <c r="D217" s="1104">
        <v>104674.83</v>
      </c>
      <c r="E217" s="1107">
        <v>202446.9</v>
      </c>
      <c r="F217" s="1106">
        <v>376413.95</v>
      </c>
      <c r="G217" s="135"/>
      <c r="H217" s="135"/>
      <c r="I217" s="326"/>
    </row>
    <row r="218" spans="1:12" ht="30">
      <c r="A218" s="56" t="s">
        <v>168</v>
      </c>
      <c r="B218" s="2185"/>
      <c r="C218" s="72"/>
      <c r="D218" s="1104">
        <v>100912.81</v>
      </c>
      <c r="E218" s="1108">
        <v>287084.87</v>
      </c>
      <c r="F218" s="1109">
        <v>314249.8</v>
      </c>
      <c r="G218" s="135"/>
      <c r="H218" s="135"/>
      <c r="I218" s="326"/>
    </row>
    <row r="219" spans="1:12" ht="18.75" customHeight="1" thickBot="1">
      <c r="A219" s="331"/>
      <c r="B219" s="2186"/>
      <c r="C219" s="945" t="s">
        <v>13</v>
      </c>
      <c r="D219" s="1110">
        <f>SUM(D214:D218)</f>
        <v>409140.65</v>
      </c>
      <c r="E219" s="1110">
        <f t="shared" ref="E219:I219" si="24">SUM(E214:E218)</f>
        <v>1011892.19</v>
      </c>
      <c r="F219" s="1111">
        <f>SUM(F214:F218)</f>
        <v>1240833.03</v>
      </c>
      <c r="G219" s="1112">
        <f t="shared" si="24"/>
        <v>0</v>
      </c>
      <c r="H219" s="1112">
        <f t="shared" si="24"/>
        <v>0</v>
      </c>
      <c r="I219" s="1112">
        <f t="shared" si="24"/>
        <v>0</v>
      </c>
    </row>
    <row r="220" spans="1:12" ht="24.75" customHeight="1"/>
    <row r="224" spans="1:12">
      <c r="D224" s="1113"/>
      <c r="E224" s="1114"/>
    </row>
    <row r="227" spans="1:4">
      <c r="A227" s="56"/>
      <c r="D227" s="1113"/>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0"/>
  <sheetViews>
    <sheetView topLeftCell="A208" zoomScale="70" zoomScaleNormal="70" workbookViewId="0">
      <selection activeCell="F214" sqref="F214"/>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8.14062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115" t="s">
        <v>297</v>
      </c>
      <c r="C1" s="1116"/>
      <c r="D1" s="1116"/>
      <c r="E1" s="1116"/>
      <c r="F1" s="1116"/>
      <c r="M1" s="2326" t="s">
        <v>298</v>
      </c>
      <c r="N1" s="2326"/>
      <c r="O1" s="2326"/>
    </row>
    <row r="2" spans="1:25" s="1" customFormat="1" ht="20.100000000000001" customHeight="1" thickBot="1"/>
    <row r="3" spans="1:25" s="4" customFormat="1" ht="20.100000000000001" customHeight="1">
      <c r="A3" s="488" t="s">
        <v>2</v>
      </c>
      <c r="B3" s="489"/>
      <c r="C3" s="489"/>
      <c r="D3" s="489"/>
      <c r="E3" s="489"/>
      <c r="F3" s="2010"/>
      <c r="G3" s="2010"/>
      <c r="H3" s="2010"/>
      <c r="I3" s="2010"/>
      <c r="J3" s="2010"/>
      <c r="K3" s="2010"/>
      <c r="L3" s="2010"/>
      <c r="M3" s="2010"/>
      <c r="N3" s="2010"/>
      <c r="O3" s="2011"/>
    </row>
    <row r="4" spans="1:25" s="4" customFormat="1" ht="20.100000000000001" customHeight="1">
      <c r="A4" s="1947" t="s">
        <v>170</v>
      </c>
      <c r="B4" s="1948"/>
      <c r="C4" s="1948"/>
      <c r="D4" s="1948"/>
      <c r="E4" s="1948"/>
      <c r="F4" s="1948"/>
      <c r="G4" s="1948"/>
      <c r="H4" s="1948"/>
      <c r="I4" s="1948"/>
      <c r="J4" s="1948"/>
      <c r="K4" s="1948"/>
      <c r="L4" s="1948"/>
      <c r="M4" s="1948"/>
      <c r="N4" s="1948"/>
      <c r="O4" s="1949"/>
    </row>
    <row r="5" spans="1:25" s="4" customFormat="1" ht="20.100000000000001" customHeight="1">
      <c r="A5" s="1947"/>
      <c r="B5" s="1948"/>
      <c r="C5" s="1948"/>
      <c r="D5" s="1948"/>
      <c r="E5" s="1948"/>
      <c r="F5" s="1948"/>
      <c r="G5" s="1948"/>
      <c r="H5" s="1948"/>
      <c r="I5" s="1948"/>
      <c r="J5" s="1948"/>
      <c r="K5" s="1948"/>
      <c r="L5" s="1948"/>
      <c r="M5" s="1948"/>
      <c r="N5" s="1948"/>
      <c r="O5" s="1949"/>
    </row>
    <row r="6" spans="1:25" s="4" customFormat="1" ht="20.100000000000001" customHeight="1">
      <c r="A6" s="1947"/>
      <c r="B6" s="1948"/>
      <c r="C6" s="1948"/>
      <c r="D6" s="1948"/>
      <c r="E6" s="1948"/>
      <c r="F6" s="1948"/>
      <c r="G6" s="1948"/>
      <c r="H6" s="1948"/>
      <c r="I6" s="1948"/>
      <c r="J6" s="1948"/>
      <c r="K6" s="1948"/>
      <c r="L6" s="1948"/>
      <c r="M6" s="1948"/>
      <c r="N6" s="1948"/>
      <c r="O6" s="1949"/>
    </row>
    <row r="7" spans="1:25" s="4" customFormat="1" ht="20.100000000000001" customHeight="1">
      <c r="A7" s="1947"/>
      <c r="B7" s="1948"/>
      <c r="C7" s="1948"/>
      <c r="D7" s="1948"/>
      <c r="E7" s="1948"/>
      <c r="F7" s="1948"/>
      <c r="G7" s="1948"/>
      <c r="H7" s="1948"/>
      <c r="I7" s="1948"/>
      <c r="J7" s="1948"/>
      <c r="K7" s="1948"/>
      <c r="L7" s="1948"/>
      <c r="M7" s="1948"/>
      <c r="N7" s="1948"/>
      <c r="O7" s="1949"/>
    </row>
    <row r="8" spans="1:25" s="4" customFormat="1" ht="20.100000000000001" customHeight="1">
      <c r="A8" s="1947"/>
      <c r="B8" s="1948"/>
      <c r="C8" s="1948"/>
      <c r="D8" s="1948"/>
      <c r="E8" s="1948"/>
      <c r="F8" s="1948"/>
      <c r="G8" s="1948"/>
      <c r="H8" s="1948"/>
      <c r="I8" s="1948"/>
      <c r="J8" s="1948"/>
      <c r="K8" s="1948"/>
      <c r="L8" s="1948"/>
      <c r="M8" s="1948"/>
      <c r="N8" s="1948"/>
      <c r="O8" s="1949"/>
    </row>
    <row r="9" spans="1:25" s="4" customFormat="1" ht="20.100000000000001" customHeight="1">
      <c r="A9" s="1947"/>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299</v>
      </c>
      <c r="B13" s="5"/>
      <c r="C13" s="6"/>
      <c r="D13" s="6"/>
      <c r="E13" s="6"/>
      <c r="F13" s="6"/>
      <c r="G13" s="6"/>
      <c r="H13" s="6"/>
      <c r="I13" s="6"/>
      <c r="J13" s="6"/>
      <c r="K13" s="6"/>
      <c r="L13" s="6"/>
      <c r="M13" s="6"/>
      <c r="N13" s="6"/>
      <c r="O13" s="6"/>
    </row>
    <row r="14" spans="1:25">
      <c r="P14" s="7"/>
      <c r="Q14" s="7"/>
      <c r="R14" s="7"/>
      <c r="S14" s="7"/>
      <c r="T14" s="7"/>
      <c r="U14" s="7"/>
      <c r="V14" s="7"/>
      <c r="W14" s="7"/>
      <c r="X14" s="7"/>
    </row>
    <row r="15" spans="1:25" s="51" customFormat="1" ht="22.5" customHeight="1">
      <c r="A15" s="1117"/>
      <c r="B15" s="2327" t="s">
        <v>300</v>
      </c>
      <c r="C15" s="2327" t="s">
        <v>9</v>
      </c>
      <c r="D15" s="2327" t="s">
        <v>5</v>
      </c>
      <c r="E15" s="2327"/>
      <c r="F15" s="2327"/>
      <c r="G15" s="2327"/>
      <c r="H15" s="1118"/>
      <c r="I15" s="1119" t="s">
        <v>6</v>
      </c>
      <c r="J15" s="1120"/>
      <c r="K15" s="1120"/>
      <c r="L15" s="1120"/>
      <c r="M15" s="1120"/>
      <c r="N15" s="1120"/>
      <c r="O15" s="1118"/>
      <c r="P15" s="15"/>
      <c r="Q15" s="16"/>
      <c r="R15" s="17"/>
      <c r="S15" s="17"/>
      <c r="T15" s="17"/>
      <c r="U15" s="17"/>
      <c r="V15" s="17"/>
      <c r="W15" s="15"/>
      <c r="X15" s="15"/>
      <c r="Y15" s="16"/>
    </row>
    <row r="16" spans="1:25" s="56" customFormat="1" ht="147.75" customHeight="1">
      <c r="A16" s="1121" t="s">
        <v>7</v>
      </c>
      <c r="B16" s="2327"/>
      <c r="C16" s="2327"/>
      <c r="D16" s="1122" t="s">
        <v>10</v>
      </c>
      <c r="E16" s="1122" t="s">
        <v>11</v>
      </c>
      <c r="F16" s="1122" t="s">
        <v>12</v>
      </c>
      <c r="G16" s="1123" t="s">
        <v>13</v>
      </c>
      <c r="H16" s="1124" t="s">
        <v>14</v>
      </c>
      <c r="I16" s="1125" t="s">
        <v>15</v>
      </c>
      <c r="J16" s="1125" t="s">
        <v>16</v>
      </c>
      <c r="K16" s="1125" t="s">
        <v>17</v>
      </c>
      <c r="L16" s="1125" t="s">
        <v>18</v>
      </c>
      <c r="M16" s="1124" t="s">
        <v>19</v>
      </c>
      <c r="N16" s="1125" t="s">
        <v>20</v>
      </c>
      <c r="O16" s="1125" t="s">
        <v>21</v>
      </c>
      <c r="P16" s="28"/>
      <c r="Q16" s="28"/>
      <c r="R16" s="28"/>
      <c r="S16" s="28"/>
      <c r="T16" s="28"/>
      <c r="U16" s="28"/>
      <c r="V16" s="28"/>
      <c r="W16" s="28"/>
      <c r="X16" s="28"/>
      <c r="Y16" s="28"/>
    </row>
    <row r="17" spans="1:25" ht="15" customHeight="1">
      <c r="A17" s="2328" t="s">
        <v>301</v>
      </c>
      <c r="B17" s="2325"/>
      <c r="C17" s="1126">
        <v>2014</v>
      </c>
      <c r="D17" s="1126"/>
      <c r="E17" s="1126"/>
      <c r="F17" s="1126"/>
      <c r="G17" s="1127">
        <f t="shared" ref="G17:G23" si="0">SUM(D17:F17)</f>
        <v>0</v>
      </c>
      <c r="H17" s="1126"/>
      <c r="I17" s="1126"/>
      <c r="J17" s="1126"/>
      <c r="K17" s="1126"/>
      <c r="L17" s="1126"/>
      <c r="M17" s="1126"/>
      <c r="N17" s="1126"/>
      <c r="O17" s="1126"/>
      <c r="P17" s="35"/>
      <c r="Q17" s="35"/>
      <c r="R17" s="35"/>
      <c r="S17" s="35"/>
      <c r="T17" s="35"/>
      <c r="U17" s="35"/>
      <c r="V17" s="35"/>
      <c r="W17" s="35"/>
      <c r="X17" s="35"/>
      <c r="Y17" s="35"/>
    </row>
    <row r="18" spans="1:25">
      <c r="A18" s="2316" t="s">
        <v>302</v>
      </c>
      <c r="B18" s="2317"/>
      <c r="C18" s="1128">
        <v>2015</v>
      </c>
      <c r="D18" s="1128">
        <v>11</v>
      </c>
      <c r="E18" s="1129">
        <v>1</v>
      </c>
      <c r="F18" s="1128">
        <v>1</v>
      </c>
      <c r="G18" s="1127">
        <f>SUM(D18:F18)</f>
        <v>13</v>
      </c>
      <c r="H18" s="1128">
        <v>1</v>
      </c>
      <c r="I18" s="1128">
        <v>1</v>
      </c>
      <c r="J18" s="1128"/>
      <c r="K18" s="1128">
        <v>3</v>
      </c>
      <c r="L18" s="1128"/>
      <c r="M18" s="1128">
        <v>3</v>
      </c>
      <c r="N18" s="1128"/>
      <c r="O18" s="1130">
        <v>5</v>
      </c>
      <c r="P18" s="35"/>
      <c r="Q18" s="35"/>
      <c r="R18" s="35"/>
      <c r="S18" s="35"/>
      <c r="T18" s="35"/>
      <c r="U18" s="35"/>
      <c r="V18" s="35"/>
      <c r="W18" s="35"/>
      <c r="X18" s="35"/>
      <c r="Y18" s="35"/>
    </row>
    <row r="19" spans="1:25">
      <c r="A19" s="1131" t="s">
        <v>303</v>
      </c>
      <c r="B19" s="1132"/>
      <c r="C19" s="1128">
        <v>2016</v>
      </c>
      <c r="D19" s="1128">
        <v>28</v>
      </c>
      <c r="E19" s="1128">
        <v>0</v>
      </c>
      <c r="F19" s="1128">
        <v>1</v>
      </c>
      <c r="G19" s="1127">
        <f t="shared" si="0"/>
        <v>29</v>
      </c>
      <c r="H19" s="1128">
        <v>0</v>
      </c>
      <c r="I19" s="1128">
        <f>8</f>
        <v>8</v>
      </c>
      <c r="J19" s="1128">
        <v>0</v>
      </c>
      <c r="K19" s="1128">
        <f>9</f>
        <v>9</v>
      </c>
      <c r="L19" s="1128">
        <f>0+2</f>
        <v>2</v>
      </c>
      <c r="M19" s="1128">
        <v>0</v>
      </c>
      <c r="N19" s="1128">
        <v>0</v>
      </c>
      <c r="O19" s="1130">
        <f>8+2</f>
        <v>10</v>
      </c>
      <c r="P19" s="35"/>
      <c r="Q19" s="35"/>
      <c r="R19" s="35"/>
      <c r="S19" s="35"/>
      <c r="T19" s="35"/>
      <c r="U19" s="35"/>
      <c r="V19" s="35"/>
      <c r="W19" s="35"/>
      <c r="X19" s="35"/>
      <c r="Y19" s="35"/>
    </row>
    <row r="20" spans="1:25">
      <c r="A20" s="1131" t="s">
        <v>304</v>
      </c>
      <c r="B20" s="1132"/>
      <c r="C20" s="1128">
        <v>2017</v>
      </c>
      <c r="D20" s="1133">
        <v>41</v>
      </c>
      <c r="E20" s="1128">
        <v>0</v>
      </c>
      <c r="F20" s="1128">
        <v>0</v>
      </c>
      <c r="G20" s="1127">
        <f t="shared" si="0"/>
        <v>41</v>
      </c>
      <c r="H20" s="1133">
        <v>13</v>
      </c>
      <c r="I20" s="1133">
        <v>5</v>
      </c>
      <c r="J20" s="1128">
        <v>0</v>
      </c>
      <c r="K20" s="1133">
        <v>15</v>
      </c>
      <c r="L20" s="1128">
        <v>1</v>
      </c>
      <c r="M20" s="1133">
        <v>3</v>
      </c>
      <c r="N20" s="1128">
        <v>0</v>
      </c>
      <c r="O20" s="1134">
        <v>4</v>
      </c>
      <c r="P20" s="35"/>
      <c r="Q20" s="35"/>
      <c r="R20" s="35"/>
      <c r="S20" s="35"/>
      <c r="T20" s="35"/>
      <c r="U20" s="35"/>
      <c r="V20" s="35"/>
      <c r="W20" s="35"/>
      <c r="X20" s="35"/>
      <c r="Y20" s="35"/>
    </row>
    <row r="21" spans="1:25">
      <c r="A21" s="1131" t="s">
        <v>305</v>
      </c>
      <c r="B21" s="1132"/>
      <c r="C21" s="1128">
        <v>2018</v>
      </c>
      <c r="D21" s="1128"/>
      <c r="E21" s="1128"/>
      <c r="F21" s="1128"/>
      <c r="G21" s="1127">
        <f t="shared" si="0"/>
        <v>0</v>
      </c>
      <c r="H21" s="1128"/>
      <c r="I21" s="1128"/>
      <c r="J21" s="1128"/>
      <c r="K21" s="1128"/>
      <c r="L21" s="1128"/>
      <c r="M21" s="1128"/>
      <c r="N21" s="1128"/>
      <c r="O21" s="1130"/>
      <c r="P21" s="35"/>
      <c r="Q21" s="35"/>
      <c r="R21" s="35"/>
      <c r="S21" s="35"/>
      <c r="T21" s="35"/>
      <c r="U21" s="35"/>
      <c r="V21" s="35"/>
      <c r="W21" s="35"/>
      <c r="X21" s="35"/>
      <c r="Y21" s="35"/>
    </row>
    <row r="22" spans="1:25">
      <c r="A22" s="1131"/>
      <c r="B22" s="1132"/>
      <c r="C22" s="1135">
        <v>2019</v>
      </c>
      <c r="D22" s="1128"/>
      <c r="E22" s="1128"/>
      <c r="F22" s="1128"/>
      <c r="G22" s="1127">
        <f>SUM(D22:F22)</f>
        <v>0</v>
      </c>
      <c r="H22" s="1128"/>
      <c r="I22" s="1128"/>
      <c r="J22" s="1128"/>
      <c r="K22" s="1128"/>
      <c r="L22" s="1128"/>
      <c r="M22" s="1128"/>
      <c r="N22" s="1128"/>
      <c r="O22" s="1130"/>
      <c r="P22" s="35"/>
      <c r="Q22" s="35"/>
      <c r="R22" s="35"/>
      <c r="S22" s="35"/>
      <c r="T22" s="35"/>
      <c r="U22" s="35"/>
      <c r="V22" s="35"/>
      <c r="W22" s="35"/>
      <c r="X22" s="35"/>
      <c r="Y22" s="35"/>
    </row>
    <row r="23" spans="1:25">
      <c r="A23" s="1131" t="s">
        <v>306</v>
      </c>
      <c r="B23" s="1132"/>
      <c r="C23" s="1128">
        <v>2020</v>
      </c>
      <c r="D23" s="1128"/>
      <c r="E23" s="1128"/>
      <c r="F23" s="1128"/>
      <c r="G23" s="1127">
        <f t="shared" si="0"/>
        <v>0</v>
      </c>
      <c r="H23" s="1128"/>
      <c r="I23" s="1128"/>
      <c r="J23" s="1128"/>
      <c r="K23" s="1128"/>
      <c r="L23" s="1128"/>
      <c r="M23" s="1128"/>
      <c r="N23" s="1128"/>
      <c r="O23" s="1130"/>
      <c r="P23" s="35"/>
      <c r="Q23" s="35"/>
      <c r="R23" s="35"/>
      <c r="S23" s="35"/>
      <c r="T23" s="35"/>
      <c r="U23" s="35"/>
      <c r="V23" s="35"/>
      <c r="W23" s="35"/>
      <c r="X23" s="35"/>
      <c r="Y23" s="35"/>
    </row>
    <row r="24" spans="1:25" ht="25.5">
      <c r="A24" s="1136" t="s">
        <v>307</v>
      </c>
      <c r="B24" s="1137"/>
      <c r="C24" s="1138" t="s">
        <v>13</v>
      </c>
      <c r="D24" s="1127">
        <f>SUM(D17:D23)</f>
        <v>80</v>
      </c>
      <c r="E24" s="1127">
        <f>SUM(E17:E23)</f>
        <v>1</v>
      </c>
      <c r="F24" s="1127">
        <f>SUM(F17:F23)</f>
        <v>2</v>
      </c>
      <c r="G24" s="1127">
        <f>SUM(D24:F24)</f>
        <v>83</v>
      </c>
      <c r="H24" s="1127">
        <f>SUM(H17:H23)</f>
        <v>14</v>
      </c>
      <c r="I24" s="1127">
        <f>SUM(I17:I23)</f>
        <v>14</v>
      </c>
      <c r="J24" s="1127">
        <f t="shared" ref="J24:N24" si="1">SUM(J17:J23)</f>
        <v>0</v>
      </c>
      <c r="K24" s="1127">
        <f t="shared" si="1"/>
        <v>27</v>
      </c>
      <c r="L24" s="1127">
        <f t="shared" si="1"/>
        <v>3</v>
      </c>
      <c r="M24" s="1127">
        <f t="shared" si="1"/>
        <v>6</v>
      </c>
      <c r="N24" s="1127">
        <f t="shared" si="1"/>
        <v>0</v>
      </c>
      <c r="O24" s="1127">
        <f>SUM(O17:O23)</f>
        <v>19</v>
      </c>
      <c r="P24" s="35"/>
      <c r="Q24" s="35"/>
      <c r="R24" s="35"/>
      <c r="S24" s="35"/>
      <c r="T24" s="35"/>
      <c r="U24" s="35"/>
      <c r="V24" s="35"/>
      <c r="W24" s="35"/>
      <c r="X24" s="35"/>
      <c r="Y24" s="35"/>
    </row>
    <row r="25" spans="1:25" ht="30" customHeight="1">
      <c r="A25" s="1139"/>
      <c r="C25" s="49"/>
      <c r="H25" s="7"/>
      <c r="I25" s="7"/>
      <c r="J25" s="7"/>
      <c r="K25" s="7"/>
      <c r="L25" s="7"/>
      <c r="M25" s="7"/>
      <c r="N25" s="7"/>
      <c r="O25" s="7"/>
      <c r="P25" s="7"/>
      <c r="Q25" s="7"/>
    </row>
    <row r="26" spans="1:25" s="51" customFormat="1" ht="30.75" customHeight="1">
      <c r="A26" s="1117"/>
      <c r="B26" s="2327" t="s">
        <v>300</v>
      </c>
      <c r="C26" s="2327" t="s">
        <v>9</v>
      </c>
      <c r="D26" s="2327" t="s">
        <v>5</v>
      </c>
      <c r="E26" s="2327"/>
      <c r="F26" s="2327"/>
      <c r="G26" s="2327"/>
      <c r="H26" s="15"/>
      <c r="I26" s="16"/>
      <c r="J26" s="17"/>
      <c r="K26" s="17"/>
      <c r="L26" s="17"/>
      <c r="M26" s="17"/>
      <c r="N26" s="17"/>
      <c r="O26" s="15"/>
      <c r="P26" s="15"/>
    </row>
    <row r="27" spans="1:25" s="56" customFormat="1" ht="93" customHeight="1">
      <c r="A27" s="1121" t="s">
        <v>308</v>
      </c>
      <c r="B27" s="2327"/>
      <c r="C27" s="2327"/>
      <c r="D27" s="1122" t="s">
        <v>10</v>
      </c>
      <c r="E27" s="1122" t="s">
        <v>11</v>
      </c>
      <c r="F27" s="1122" t="s">
        <v>12</v>
      </c>
      <c r="G27" s="1140" t="s">
        <v>13</v>
      </c>
      <c r="H27" s="28"/>
      <c r="I27" s="28"/>
      <c r="J27" s="28"/>
      <c r="K27" s="28"/>
      <c r="L27" s="28"/>
      <c r="M27" s="28"/>
      <c r="N27" s="28"/>
      <c r="O27" s="28"/>
      <c r="P27" s="28"/>
      <c r="Q27" s="51"/>
    </row>
    <row r="28" spans="1:25" ht="15" customHeight="1">
      <c r="A28" s="2324" t="s">
        <v>309</v>
      </c>
      <c r="B28" s="2325"/>
      <c r="C28" s="1126">
        <v>2014</v>
      </c>
      <c r="D28" s="1126"/>
      <c r="E28" s="1126"/>
      <c r="F28" s="1126"/>
      <c r="G28" s="1127">
        <f>SUM(D28:F28)</f>
        <v>0</v>
      </c>
      <c r="H28" s="35"/>
      <c r="I28" s="35"/>
      <c r="J28" s="35"/>
      <c r="K28" s="35"/>
      <c r="L28" s="35"/>
      <c r="M28" s="35"/>
      <c r="N28" s="35"/>
      <c r="O28" s="35"/>
      <c r="P28" s="35"/>
      <c r="Q28" s="7"/>
    </row>
    <row r="29" spans="1:25" ht="12.75" customHeight="1">
      <c r="A29" s="2316" t="s">
        <v>310</v>
      </c>
      <c r="B29" s="2317"/>
      <c r="C29" s="1128">
        <v>2015</v>
      </c>
      <c r="D29" s="1141">
        <v>6577</v>
      </c>
      <c r="E29" s="1141">
        <v>139</v>
      </c>
      <c r="F29" s="1141">
        <v>30</v>
      </c>
      <c r="G29" s="1142">
        <f t="shared" ref="G29:G35" si="2">SUM(D29:F29)</f>
        <v>6746</v>
      </c>
      <c r="H29" s="35"/>
      <c r="I29" s="35"/>
      <c r="J29" s="35"/>
      <c r="K29" s="35"/>
      <c r="L29" s="35"/>
      <c r="M29" s="35"/>
      <c r="N29" s="35"/>
      <c r="O29" s="35"/>
      <c r="P29" s="35"/>
      <c r="Q29" s="7"/>
    </row>
    <row r="30" spans="1:25">
      <c r="A30" s="2318" t="s">
        <v>311</v>
      </c>
      <c r="B30" s="2319"/>
      <c r="C30" s="1128">
        <v>2016</v>
      </c>
      <c r="D30" s="1141">
        <f>142063+161+3619</f>
        <v>145843</v>
      </c>
      <c r="E30" s="1143">
        <v>0</v>
      </c>
      <c r="F30" s="1143">
        <f>20000+0</f>
        <v>20000</v>
      </c>
      <c r="G30" s="1142">
        <f t="shared" si="2"/>
        <v>165843</v>
      </c>
      <c r="H30" s="35"/>
      <c r="I30" s="35"/>
      <c r="J30" s="35"/>
      <c r="K30" s="35"/>
      <c r="L30" s="35"/>
      <c r="M30" s="35"/>
      <c r="N30" s="35"/>
      <c r="O30" s="35"/>
      <c r="P30" s="35"/>
      <c r="Q30" s="7"/>
    </row>
    <row r="31" spans="1:25">
      <c r="A31" s="2281"/>
      <c r="B31" s="2319"/>
      <c r="C31" s="1128">
        <v>2017</v>
      </c>
      <c r="D31" s="1144">
        <v>22184</v>
      </c>
      <c r="E31" s="1141">
        <v>0</v>
      </c>
      <c r="F31" s="1141">
        <v>0</v>
      </c>
      <c r="G31" s="1142">
        <f t="shared" si="2"/>
        <v>22184</v>
      </c>
      <c r="H31" s="35"/>
      <c r="I31" s="35"/>
      <c r="J31" s="35"/>
      <c r="K31" s="35"/>
      <c r="L31" s="35"/>
      <c r="M31" s="35"/>
      <c r="N31" s="35"/>
      <c r="O31" s="35"/>
      <c r="P31" s="35"/>
      <c r="Q31" s="7"/>
    </row>
    <row r="32" spans="1:25">
      <c r="A32" s="2318"/>
      <c r="B32" s="2319"/>
      <c r="C32" s="1128">
        <v>2018</v>
      </c>
      <c r="D32" s="1141"/>
      <c r="E32" s="1141"/>
      <c r="F32" s="1141"/>
      <c r="G32" s="1142">
        <f>SUM(D32:F32)</f>
        <v>0</v>
      </c>
      <c r="H32" s="35"/>
      <c r="I32" s="35"/>
      <c r="J32" s="35"/>
      <c r="K32" s="35"/>
      <c r="L32" s="35"/>
      <c r="M32" s="35"/>
      <c r="N32" s="35"/>
      <c r="O32" s="35"/>
      <c r="P32" s="35"/>
      <c r="Q32" s="7"/>
    </row>
    <row r="33" spans="1:17">
      <c r="A33" s="2310"/>
      <c r="B33" s="2311"/>
      <c r="C33" s="1135">
        <v>2019</v>
      </c>
      <c r="D33" s="1141"/>
      <c r="E33" s="1141"/>
      <c r="F33" s="1141"/>
      <c r="G33" s="1142">
        <f t="shared" si="2"/>
        <v>0</v>
      </c>
      <c r="H33" s="35"/>
      <c r="I33" s="35"/>
      <c r="J33" s="35"/>
      <c r="K33" s="35"/>
      <c r="L33" s="35"/>
      <c r="M33" s="35"/>
      <c r="N33" s="35"/>
      <c r="O33" s="35"/>
      <c r="P33" s="35"/>
      <c r="Q33" s="7"/>
    </row>
    <row r="34" spans="1:17">
      <c r="A34" s="2310"/>
      <c r="B34" s="2311"/>
      <c r="C34" s="1128">
        <v>2020</v>
      </c>
      <c r="D34" s="1141"/>
      <c r="E34" s="1141"/>
      <c r="F34" s="1141"/>
      <c r="G34" s="1142">
        <f t="shared" si="2"/>
        <v>0</v>
      </c>
      <c r="H34" s="35"/>
      <c r="I34" s="35"/>
      <c r="J34" s="35"/>
      <c r="K34" s="35"/>
      <c r="L34" s="35"/>
      <c r="M34" s="35"/>
      <c r="N34" s="35"/>
      <c r="O34" s="35"/>
      <c r="P34" s="35"/>
      <c r="Q34" s="7"/>
    </row>
    <row r="35" spans="1:17" ht="20.25" customHeight="1">
      <c r="A35" s="2312"/>
      <c r="B35" s="2313"/>
      <c r="C35" s="1138" t="s">
        <v>13</v>
      </c>
      <c r="D35" s="1142">
        <f>SUM(D28:D34)</f>
        <v>174604</v>
      </c>
      <c r="E35" s="1142">
        <f>SUM(E28:E34)</f>
        <v>139</v>
      </c>
      <c r="F35" s="1142">
        <f>SUM(F28:F34)</f>
        <v>20030</v>
      </c>
      <c r="G35" s="1142">
        <f t="shared" si="2"/>
        <v>194773</v>
      </c>
      <c r="H35" s="35"/>
      <c r="I35" s="35"/>
      <c r="J35" s="35"/>
      <c r="K35" s="35"/>
      <c r="L35" s="35"/>
      <c r="M35" s="35"/>
      <c r="N35" s="35"/>
      <c r="O35" s="35"/>
      <c r="P35" s="35"/>
      <c r="Q35" s="7"/>
    </row>
    <row r="36" spans="1:17">
      <c r="A36" s="1145" t="s">
        <v>312</v>
      </c>
      <c r="B36" s="1145"/>
      <c r="C36" s="1146"/>
      <c r="D36" s="1147"/>
      <c r="E36" s="1147"/>
      <c r="F36" s="1147"/>
      <c r="G36" s="1147"/>
      <c r="H36" s="7"/>
      <c r="I36" s="7"/>
      <c r="J36" s="7"/>
      <c r="K36" s="7"/>
      <c r="L36" s="7"/>
      <c r="M36" s="7"/>
      <c r="N36" s="7"/>
      <c r="O36" s="7"/>
      <c r="P36" s="7"/>
      <c r="Q36" s="7"/>
    </row>
    <row r="37" spans="1:17" ht="21" customHeight="1">
      <c r="A37" s="1148" t="s">
        <v>25</v>
      </c>
      <c r="B37" s="1148"/>
      <c r="C37" s="1149"/>
      <c r="D37" s="1149"/>
      <c r="E37" s="1149"/>
      <c r="F37" s="1150"/>
      <c r="G37" s="1150"/>
      <c r="H37" s="35"/>
      <c r="I37" s="65"/>
      <c r="J37" s="65"/>
      <c r="K37" s="65"/>
    </row>
    <row r="38" spans="1:17" ht="12.75" customHeight="1">
      <c r="G38" s="35"/>
      <c r="H38" s="35"/>
    </row>
    <row r="39" spans="1:17" ht="88.5" customHeight="1">
      <c r="A39" s="1151" t="s">
        <v>26</v>
      </c>
      <c r="B39" s="1152" t="s">
        <v>300</v>
      </c>
      <c r="C39" s="1153" t="s">
        <v>9</v>
      </c>
      <c r="D39" s="1154" t="s">
        <v>28</v>
      </c>
      <c r="E39" s="1154" t="s">
        <v>29</v>
      </c>
      <c r="F39" s="71"/>
      <c r="G39" s="28"/>
      <c r="H39" s="28"/>
    </row>
    <row r="40" spans="1:17">
      <c r="A40" s="2320" t="s">
        <v>313</v>
      </c>
      <c r="B40" s="2321"/>
      <c r="C40" s="1155">
        <v>2014</v>
      </c>
      <c r="D40" s="1126"/>
      <c r="E40" s="1126"/>
      <c r="F40" s="7"/>
      <c r="G40" s="35"/>
      <c r="H40" s="35"/>
    </row>
    <row r="41" spans="1:17" ht="15.75" customHeight="1">
      <c r="A41" s="2322"/>
      <c r="B41" s="2323"/>
      <c r="C41" s="1156">
        <v>2015</v>
      </c>
      <c r="D41" s="1128">
        <v>34347</v>
      </c>
      <c r="E41" s="1128">
        <v>20901</v>
      </c>
      <c r="F41" s="7"/>
      <c r="G41" s="35"/>
      <c r="H41" s="35"/>
    </row>
    <row r="42" spans="1:17" ht="15" customHeight="1">
      <c r="A42" s="2322" t="s">
        <v>314</v>
      </c>
      <c r="B42" s="2323"/>
      <c r="C42" s="1157">
        <v>2016</v>
      </c>
      <c r="D42" s="1129">
        <v>9879</v>
      </c>
      <c r="E42" s="1129">
        <v>3402</v>
      </c>
      <c r="F42" s="7"/>
      <c r="G42" s="35"/>
      <c r="H42" s="35"/>
    </row>
    <row r="43" spans="1:17">
      <c r="A43" s="2322"/>
      <c r="B43" s="2323"/>
      <c r="C43" s="1156">
        <v>2017</v>
      </c>
      <c r="D43" s="1128">
        <v>14220</v>
      </c>
      <c r="E43" s="1128">
        <v>5358</v>
      </c>
      <c r="F43" s="7"/>
      <c r="G43" s="35"/>
      <c r="H43" s="35"/>
    </row>
    <row r="44" spans="1:17">
      <c r="A44" s="1158"/>
      <c r="B44" s="1159"/>
      <c r="C44" s="1156">
        <v>2018</v>
      </c>
      <c r="D44" s="1128"/>
      <c r="E44" s="1128"/>
      <c r="F44" s="7"/>
      <c r="G44" s="35"/>
      <c r="H44" s="35"/>
    </row>
    <row r="45" spans="1:17">
      <c r="A45" s="1158"/>
      <c r="B45" s="1159"/>
      <c r="C45" s="1156">
        <v>2019</v>
      </c>
      <c r="D45" s="1128"/>
      <c r="E45" s="1128"/>
      <c r="F45" s="7"/>
      <c r="G45" s="35"/>
      <c r="H45" s="35"/>
    </row>
    <row r="46" spans="1:17">
      <c r="A46" s="1158"/>
      <c r="B46" s="1159"/>
      <c r="C46" s="1156">
        <v>2020</v>
      </c>
      <c r="D46" s="1128"/>
      <c r="E46" s="1128"/>
      <c r="F46" s="7"/>
      <c r="G46" s="35"/>
      <c r="H46" s="35"/>
    </row>
    <row r="47" spans="1:17">
      <c r="A47" s="1160"/>
      <c r="B47" s="1161"/>
      <c r="C47" s="1138" t="s">
        <v>13</v>
      </c>
      <c r="D47" s="1127">
        <f>SUM(D40:D46)</f>
        <v>58446</v>
      </c>
      <c r="E47" s="1127">
        <f>SUM(E40:E46)</f>
        <v>29661</v>
      </c>
      <c r="F47" s="78"/>
      <c r="G47" s="35"/>
      <c r="H47" s="35"/>
    </row>
    <row r="48" spans="1:17" s="35" customFormat="1">
      <c r="A48" s="197"/>
      <c r="B48" s="80"/>
      <c r="C48" s="81"/>
    </row>
    <row r="49" spans="1:15" ht="83.25" customHeight="1">
      <c r="A49" s="1162" t="s">
        <v>32</v>
      </c>
      <c r="B49" s="1163" t="s">
        <v>300</v>
      </c>
      <c r="C49" s="1153" t="s">
        <v>9</v>
      </c>
      <c r="D49" s="1154" t="s">
        <v>34</v>
      </c>
      <c r="E49" s="1154" t="s">
        <v>35</v>
      </c>
      <c r="F49" s="1154" t="s">
        <v>36</v>
      </c>
      <c r="G49" s="1154" t="s">
        <v>37</v>
      </c>
      <c r="H49" s="1154" t="s">
        <v>38</v>
      </c>
      <c r="I49" s="1154" t="s">
        <v>39</v>
      </c>
      <c r="J49" s="1154" t="s">
        <v>40</v>
      </c>
      <c r="K49" s="1154" t="s">
        <v>41</v>
      </c>
    </row>
    <row r="50" spans="1:15" ht="17.25" customHeight="1">
      <c r="A50" s="2279" t="s">
        <v>315</v>
      </c>
      <c r="B50" s="2280"/>
      <c r="C50" s="1164" t="s">
        <v>43</v>
      </c>
      <c r="D50" s="1126"/>
      <c r="E50" s="1126"/>
      <c r="F50" s="1126"/>
      <c r="G50" s="1126"/>
      <c r="H50" s="1126"/>
      <c r="I50" s="1126"/>
      <c r="J50" s="1126"/>
      <c r="K50" s="1126"/>
    </row>
    <row r="51" spans="1:15" ht="22.5" customHeight="1">
      <c r="A51" s="2318" t="s">
        <v>316</v>
      </c>
      <c r="B51" s="2319"/>
      <c r="C51" s="1165">
        <v>2014</v>
      </c>
      <c r="D51" s="1128"/>
      <c r="E51" s="1128"/>
      <c r="F51" s="1128"/>
      <c r="G51" s="1128"/>
      <c r="H51" s="1128"/>
      <c r="I51" s="1128"/>
      <c r="J51" s="1128"/>
      <c r="K51" s="1128"/>
    </row>
    <row r="52" spans="1:15">
      <c r="A52" s="2318"/>
      <c r="B52" s="2319"/>
      <c r="C52" s="1165">
        <v>2015</v>
      </c>
      <c r="D52" s="1128">
        <v>0</v>
      </c>
      <c r="E52" s="1128">
        <v>0</v>
      </c>
      <c r="F52" s="1128">
        <v>0</v>
      </c>
      <c r="G52" s="1128">
        <v>0</v>
      </c>
      <c r="H52" s="1128">
        <v>0</v>
      </c>
      <c r="I52" s="1128">
        <v>0</v>
      </c>
      <c r="J52" s="1128">
        <v>0</v>
      </c>
      <c r="K52" s="1128">
        <v>0</v>
      </c>
    </row>
    <row r="53" spans="1:15">
      <c r="A53" s="2310"/>
      <c r="B53" s="2311"/>
      <c r="C53" s="1165">
        <v>2016</v>
      </c>
      <c r="D53" s="1128">
        <v>0</v>
      </c>
      <c r="E53" s="1128">
        <v>1</v>
      </c>
      <c r="F53" s="1128">
        <v>0</v>
      </c>
      <c r="G53" s="1128">
        <v>0</v>
      </c>
      <c r="H53" s="1128">
        <v>0</v>
      </c>
      <c r="I53" s="1128">
        <v>0</v>
      </c>
      <c r="J53" s="1128">
        <v>0</v>
      </c>
      <c r="K53" s="1128">
        <v>0</v>
      </c>
    </row>
    <row r="54" spans="1:15">
      <c r="A54" s="2310"/>
      <c r="B54" s="2311"/>
      <c r="C54" s="1165">
        <v>2017</v>
      </c>
      <c r="D54" s="1128">
        <v>0</v>
      </c>
      <c r="E54" s="1128">
        <v>0</v>
      </c>
      <c r="F54" s="1128">
        <v>0</v>
      </c>
      <c r="G54" s="1128">
        <v>0</v>
      </c>
      <c r="H54" s="1128">
        <v>0</v>
      </c>
      <c r="I54" s="1128">
        <v>0</v>
      </c>
      <c r="J54" s="1128">
        <v>0</v>
      </c>
      <c r="K54" s="1128">
        <v>0</v>
      </c>
    </row>
    <row r="55" spans="1:15">
      <c r="A55" s="2310"/>
      <c r="B55" s="2311"/>
      <c r="C55" s="1165">
        <v>2018</v>
      </c>
      <c r="D55" s="1128"/>
      <c r="E55" s="1128"/>
      <c r="F55" s="1128"/>
      <c r="G55" s="1128"/>
      <c r="H55" s="1128"/>
      <c r="I55" s="1128"/>
      <c r="J55" s="1128"/>
      <c r="K55" s="1128"/>
    </row>
    <row r="56" spans="1:15">
      <c r="A56" s="2310"/>
      <c r="B56" s="2311"/>
      <c r="C56" s="1165">
        <v>2019</v>
      </c>
      <c r="D56" s="1128"/>
      <c r="E56" s="1128"/>
      <c r="F56" s="1128"/>
      <c r="G56" s="1128"/>
      <c r="H56" s="1128"/>
      <c r="I56" s="1128"/>
      <c r="J56" s="1128"/>
      <c r="K56" s="1128"/>
    </row>
    <row r="57" spans="1:15">
      <c r="A57" s="2310"/>
      <c r="B57" s="2311"/>
      <c r="C57" s="1165">
        <v>2020</v>
      </c>
      <c r="D57" s="1128"/>
      <c r="E57" s="1128"/>
      <c r="F57" s="1128"/>
      <c r="G57" s="1128"/>
      <c r="H57" s="1128"/>
      <c r="I57" s="1128"/>
      <c r="J57" s="1128"/>
      <c r="K57" s="1128"/>
    </row>
    <row r="58" spans="1:15" ht="20.25" customHeight="1">
      <c r="A58" s="2312"/>
      <c r="B58" s="2313"/>
      <c r="C58" s="1166" t="s">
        <v>13</v>
      </c>
      <c r="D58" s="1127">
        <f>SUM(D51:D57)</f>
        <v>0</v>
      </c>
      <c r="E58" s="1127">
        <f>SUM(E51:E57)</f>
        <v>1</v>
      </c>
      <c r="F58" s="1127">
        <f>SUM(F51:F57)</f>
        <v>0</v>
      </c>
      <c r="G58" s="1127">
        <f>SUM(G51:G57)</f>
        <v>0</v>
      </c>
      <c r="H58" s="1127">
        <f>SUM(H51:H57)</f>
        <v>0</v>
      </c>
      <c r="I58" s="1127">
        <f t="shared" ref="I58" si="3">SUM(I51:I57)</f>
        <v>0</v>
      </c>
      <c r="J58" s="1127">
        <f>SUM(J51:J57)</f>
        <v>0</v>
      </c>
      <c r="K58" s="1127">
        <f>SUM(K50:K56)</f>
        <v>0</v>
      </c>
    </row>
    <row r="60" spans="1:15" ht="21" customHeight="1">
      <c r="A60" s="2314" t="s">
        <v>44</v>
      </c>
      <c r="B60" s="2315" t="s">
        <v>300</v>
      </c>
      <c r="C60" s="2307" t="s">
        <v>9</v>
      </c>
      <c r="D60" s="2308" t="s">
        <v>45</v>
      </c>
      <c r="E60" s="1167" t="s">
        <v>6</v>
      </c>
      <c r="F60" s="1168"/>
      <c r="G60" s="1168"/>
      <c r="H60" s="1168"/>
      <c r="I60" s="1168"/>
      <c r="J60" s="1168"/>
      <c r="K60" s="1168"/>
      <c r="L60" s="1168"/>
    </row>
    <row r="61" spans="1:15" ht="115.5" customHeight="1">
      <c r="A61" s="2314"/>
      <c r="B61" s="2315"/>
      <c r="C61" s="2307"/>
      <c r="D61" s="2308"/>
      <c r="E61" s="1169" t="s">
        <v>14</v>
      </c>
      <c r="F61" s="1170" t="s">
        <v>15</v>
      </c>
      <c r="G61" s="1170" t="s">
        <v>16</v>
      </c>
      <c r="H61" s="1170" t="s">
        <v>17</v>
      </c>
      <c r="I61" s="1170" t="s">
        <v>18</v>
      </c>
      <c r="J61" s="1169" t="s">
        <v>19</v>
      </c>
      <c r="K61" s="1170" t="s">
        <v>20</v>
      </c>
      <c r="L61" s="1170" t="s">
        <v>21</v>
      </c>
      <c r="M61" s="7"/>
      <c r="N61" s="7"/>
      <c r="O61" s="7"/>
    </row>
    <row r="62" spans="1:15">
      <c r="A62" s="1171" t="s">
        <v>317</v>
      </c>
      <c r="B62" s="1172"/>
      <c r="C62" s="1126">
        <v>2014</v>
      </c>
      <c r="D62" s="1126"/>
      <c r="E62" s="1126"/>
      <c r="F62" s="1126"/>
      <c r="G62" s="1126"/>
      <c r="H62" s="1126"/>
      <c r="I62" s="1126"/>
      <c r="J62" s="1126"/>
      <c r="K62" s="1126"/>
      <c r="L62" s="1126"/>
      <c r="M62" s="7"/>
      <c r="N62" s="7"/>
      <c r="O62" s="7"/>
    </row>
    <row r="63" spans="1:15" ht="25.5" customHeight="1">
      <c r="A63" s="2261" t="s">
        <v>318</v>
      </c>
      <c r="B63" s="2292"/>
      <c r="C63" s="1128">
        <v>2015</v>
      </c>
      <c r="D63" s="1128">
        <v>0</v>
      </c>
      <c r="E63" s="1128">
        <v>0</v>
      </c>
      <c r="F63" s="1128">
        <v>0</v>
      </c>
      <c r="G63" s="1128">
        <v>0</v>
      </c>
      <c r="H63" s="1128">
        <v>0</v>
      </c>
      <c r="I63" s="1128">
        <v>0</v>
      </c>
      <c r="J63" s="1128">
        <v>0</v>
      </c>
      <c r="K63" s="1128">
        <v>0</v>
      </c>
      <c r="L63" s="1128">
        <v>0</v>
      </c>
      <c r="M63" s="7"/>
      <c r="N63" s="7"/>
      <c r="O63" s="7"/>
    </row>
    <row r="64" spans="1:15" ht="44.25" customHeight="1">
      <c r="A64" s="2261" t="s">
        <v>319</v>
      </c>
      <c r="B64" s="2292"/>
      <c r="C64" s="1128">
        <v>2016</v>
      </c>
      <c r="D64" s="1129">
        <f>E64+F64+G64+H64+I64+J64+K64+L64</f>
        <v>7</v>
      </c>
      <c r="E64" s="1128">
        <v>0</v>
      </c>
      <c r="F64" s="1128">
        <v>0</v>
      </c>
      <c r="G64" s="1128">
        <v>0</v>
      </c>
      <c r="H64" s="1128">
        <v>0</v>
      </c>
      <c r="I64" s="1128">
        <v>0</v>
      </c>
      <c r="J64" s="1128">
        <v>0</v>
      </c>
      <c r="K64" s="1128">
        <v>0</v>
      </c>
      <c r="L64" s="1129">
        <f>1+3+2+1</f>
        <v>7</v>
      </c>
      <c r="M64" s="7"/>
      <c r="N64" s="7"/>
      <c r="O64" s="7"/>
    </row>
    <row r="65" spans="1:20" ht="36" customHeight="1">
      <c r="A65" s="2261" t="s">
        <v>320</v>
      </c>
      <c r="B65" s="2292"/>
      <c r="C65" s="1128">
        <v>2017</v>
      </c>
      <c r="D65" s="1128">
        <v>3</v>
      </c>
      <c r="E65" s="1128">
        <v>0</v>
      </c>
      <c r="F65" s="1128">
        <v>0</v>
      </c>
      <c r="G65" s="1128">
        <v>0</v>
      </c>
      <c r="H65" s="1128">
        <v>0</v>
      </c>
      <c r="I65" s="1128">
        <v>0</v>
      </c>
      <c r="J65" s="1128">
        <v>0</v>
      </c>
      <c r="K65" s="1128">
        <v>0</v>
      </c>
      <c r="L65" s="1128">
        <v>3</v>
      </c>
      <c r="M65" s="7"/>
      <c r="N65" s="7"/>
      <c r="O65" s="7"/>
    </row>
    <row r="66" spans="1:20" ht="18.75" customHeight="1">
      <c r="A66" s="2309" t="s">
        <v>321</v>
      </c>
      <c r="B66" s="2292"/>
      <c r="C66" s="1128">
        <v>2018</v>
      </c>
      <c r="D66" s="1128"/>
      <c r="E66" s="1128"/>
      <c r="F66" s="1128"/>
      <c r="G66" s="1128"/>
      <c r="H66" s="1128"/>
      <c r="I66" s="1128"/>
      <c r="J66" s="1128"/>
      <c r="K66" s="1128"/>
      <c r="L66" s="1128"/>
      <c r="M66" s="7"/>
      <c r="N66" s="7"/>
      <c r="O66" s="7"/>
    </row>
    <row r="67" spans="1:20" ht="38.25" customHeight="1">
      <c r="A67" s="2261" t="s">
        <v>322</v>
      </c>
      <c r="B67" s="2292"/>
      <c r="C67" s="1128">
        <v>2019</v>
      </c>
      <c r="D67" s="1128"/>
      <c r="E67" s="1128"/>
      <c r="F67" s="1128"/>
      <c r="G67" s="1128"/>
      <c r="H67" s="1128"/>
      <c r="I67" s="1128"/>
      <c r="J67" s="1128"/>
      <c r="K67" s="1128"/>
      <c r="L67" s="1128"/>
      <c r="M67" s="7"/>
      <c r="N67" s="7"/>
      <c r="O67" s="7"/>
    </row>
    <row r="68" spans="1:20" ht="18.75" customHeight="1">
      <c r="A68" s="2261" t="s">
        <v>323</v>
      </c>
      <c r="B68" s="2292"/>
      <c r="C68" s="1128">
        <v>2020</v>
      </c>
      <c r="D68" s="1128"/>
      <c r="E68" s="1128"/>
      <c r="F68" s="1128"/>
      <c r="G68" s="1128"/>
      <c r="H68" s="1128"/>
      <c r="I68" s="1128"/>
      <c r="J68" s="1128"/>
      <c r="K68" s="1128"/>
      <c r="L68" s="1128"/>
      <c r="M68" s="78"/>
      <c r="N68" s="78"/>
      <c r="O68" s="78"/>
    </row>
    <row r="69" spans="1:20" ht="18" customHeight="1">
      <c r="A69" s="2293"/>
      <c r="B69" s="2294"/>
      <c r="C69" s="1173" t="s">
        <v>13</v>
      </c>
      <c r="D69" s="1174">
        <f>SUM(D62:D68)</f>
        <v>10</v>
      </c>
      <c r="E69" s="1175">
        <f>SUM(E62:E68)</f>
        <v>0</v>
      </c>
      <c r="F69" s="1175">
        <f t="shared" ref="F69:I69" si="4">SUM(F62:F68)</f>
        <v>0</v>
      </c>
      <c r="G69" s="1175">
        <f t="shared" si="4"/>
        <v>0</v>
      </c>
      <c r="H69" s="1175">
        <f t="shared" si="4"/>
        <v>0</v>
      </c>
      <c r="I69" s="1175">
        <f t="shared" si="4"/>
        <v>0</v>
      </c>
      <c r="J69" s="1175"/>
      <c r="K69" s="1175">
        <f>SUM(K62:K68)</f>
        <v>0</v>
      </c>
      <c r="L69" s="1175">
        <f>SUM(L62:L68)</f>
        <v>10</v>
      </c>
      <c r="M69" s="78"/>
      <c r="N69" s="78"/>
      <c r="O69" s="78"/>
    </row>
    <row r="70" spans="1:20" ht="20.25" customHeigh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1151" t="s">
        <v>47</v>
      </c>
      <c r="B71" s="1152" t="s">
        <v>300</v>
      </c>
      <c r="C71" s="1153" t="s">
        <v>9</v>
      </c>
      <c r="D71" s="1176" t="s">
        <v>49</v>
      </c>
      <c r="E71" s="1176" t="s">
        <v>50</v>
      </c>
      <c r="F71" s="1176" t="s">
        <v>324</v>
      </c>
      <c r="G71" s="1177" t="s">
        <v>52</v>
      </c>
      <c r="H71" s="1169" t="s">
        <v>14</v>
      </c>
      <c r="I71" s="1170" t="s">
        <v>15</v>
      </c>
      <c r="J71" s="1170" t="s">
        <v>16</v>
      </c>
      <c r="K71" s="1170" t="s">
        <v>17</v>
      </c>
      <c r="L71" s="1170" t="s">
        <v>18</v>
      </c>
      <c r="M71" s="1169" t="s">
        <v>19</v>
      </c>
      <c r="N71" s="1170" t="s">
        <v>20</v>
      </c>
      <c r="O71" s="1170" t="s">
        <v>21</v>
      </c>
    </row>
    <row r="72" spans="1:20" ht="77.25" customHeight="1">
      <c r="A72" s="2295" t="s">
        <v>325</v>
      </c>
      <c r="B72" s="2296"/>
      <c r="C72" s="1155">
        <v>2014</v>
      </c>
      <c r="D72" s="1155"/>
      <c r="E72" s="1155"/>
      <c r="F72" s="1155"/>
      <c r="G72" s="1126">
        <f>SUM(D72:F72)</f>
        <v>0</v>
      </c>
      <c r="H72" s="1126"/>
      <c r="I72" s="1126"/>
      <c r="J72" s="1126"/>
      <c r="K72" s="1126"/>
      <c r="L72" s="1126"/>
      <c r="M72" s="1126"/>
      <c r="N72" s="1126"/>
      <c r="O72" s="1126"/>
    </row>
    <row r="73" spans="1:20" ht="66" customHeight="1">
      <c r="A73" s="2297"/>
      <c r="B73" s="2298"/>
      <c r="C73" s="1156">
        <v>2015</v>
      </c>
      <c r="D73" s="1156">
        <v>0</v>
      </c>
      <c r="E73" s="1156">
        <v>0</v>
      </c>
      <c r="F73" s="1156">
        <v>119</v>
      </c>
      <c r="G73" s="1175">
        <v>0</v>
      </c>
      <c r="H73" s="1128"/>
      <c r="I73" s="1128"/>
      <c r="J73" s="1128"/>
      <c r="K73" s="1128"/>
      <c r="L73" s="1128">
        <v>1</v>
      </c>
      <c r="M73" s="1128"/>
      <c r="N73" s="1128"/>
      <c r="O73" s="1128">
        <v>118</v>
      </c>
    </row>
    <row r="74" spans="1:20" ht="54" customHeight="1">
      <c r="A74" s="2297"/>
      <c r="B74" s="2298"/>
      <c r="C74" s="1156">
        <v>2016</v>
      </c>
      <c r="D74" s="1156">
        <f>624+35</f>
        <v>659</v>
      </c>
      <c r="E74" s="1157">
        <v>8</v>
      </c>
      <c r="F74" s="1156">
        <v>4</v>
      </c>
      <c r="G74" s="1175">
        <f t="shared" ref="G74:G78" si="5">SUM(D74:F74)</f>
        <v>671</v>
      </c>
      <c r="H74" s="1128">
        <v>0</v>
      </c>
      <c r="I74" s="1128">
        <f>1+1+1+1+1</f>
        <v>5</v>
      </c>
      <c r="J74" s="1128">
        <v>0</v>
      </c>
      <c r="K74" s="1128">
        <v>0</v>
      </c>
      <c r="L74" s="1128">
        <v>0</v>
      </c>
      <c r="M74" s="1128">
        <v>0</v>
      </c>
      <c r="N74" s="1128">
        <v>0</v>
      </c>
      <c r="O74" s="1128">
        <f>624+35+3+1+1+1+1</f>
        <v>666</v>
      </c>
    </row>
    <row r="75" spans="1:20" ht="69" customHeight="1">
      <c r="A75" s="2297"/>
      <c r="B75" s="2298"/>
      <c r="C75" s="1156">
        <v>2017</v>
      </c>
      <c r="D75" s="1156">
        <f>130+60+14</f>
        <v>204</v>
      </c>
      <c r="E75" s="1178">
        <v>9</v>
      </c>
      <c r="F75" s="1156">
        <v>7</v>
      </c>
      <c r="G75" s="1175">
        <f t="shared" si="5"/>
        <v>220</v>
      </c>
      <c r="H75" s="1133">
        <f>1+1</f>
        <v>2</v>
      </c>
      <c r="I75" s="1133">
        <f>60+1+1+1+1+1</f>
        <v>65</v>
      </c>
      <c r="J75" s="1128"/>
      <c r="K75" s="1133">
        <f>14+1+1+1+1+1+1</f>
        <v>20</v>
      </c>
      <c r="L75" s="1133">
        <f>1</f>
        <v>1</v>
      </c>
      <c r="M75" s="1128"/>
      <c r="N75" s="1128"/>
      <c r="O75" s="1128">
        <f>130+1+1</f>
        <v>132</v>
      </c>
    </row>
    <row r="76" spans="1:20" ht="72.75" customHeight="1">
      <c r="A76" s="2297"/>
      <c r="B76" s="2298"/>
      <c r="C76" s="1156">
        <v>2018</v>
      </c>
      <c r="D76" s="1156"/>
      <c r="E76" s="1156"/>
      <c r="F76" s="1156"/>
      <c r="G76" s="1175">
        <f t="shared" si="5"/>
        <v>0</v>
      </c>
      <c r="H76" s="1128"/>
      <c r="I76" s="1128"/>
      <c r="J76" s="1128"/>
      <c r="K76" s="1128"/>
      <c r="L76" s="1128"/>
      <c r="M76" s="1128"/>
      <c r="N76" s="1128"/>
      <c r="O76" s="1128"/>
    </row>
    <row r="77" spans="1:20" ht="75.75" customHeight="1">
      <c r="A77" s="2297"/>
      <c r="B77" s="2298"/>
      <c r="C77" s="1156">
        <v>2019</v>
      </c>
      <c r="D77" s="1156"/>
      <c r="E77" s="1156"/>
      <c r="F77" s="1156"/>
      <c r="G77" s="1175">
        <f t="shared" si="5"/>
        <v>0</v>
      </c>
      <c r="H77" s="1128"/>
      <c r="I77" s="1128"/>
      <c r="J77" s="1128"/>
      <c r="K77" s="1128"/>
      <c r="L77" s="1128"/>
      <c r="M77" s="1128"/>
      <c r="N77" s="1128"/>
      <c r="O77" s="1128"/>
    </row>
    <row r="78" spans="1:20" ht="75.75" customHeight="1">
      <c r="A78" s="2297"/>
      <c r="B78" s="2298"/>
      <c r="C78" s="1156">
        <v>2020</v>
      </c>
      <c r="D78" s="1156"/>
      <c r="E78" s="1156"/>
      <c r="F78" s="1156"/>
      <c r="G78" s="1175">
        <f t="shared" si="5"/>
        <v>0</v>
      </c>
      <c r="H78" s="1128"/>
      <c r="I78" s="1128"/>
      <c r="J78" s="1128"/>
      <c r="K78" s="1128"/>
      <c r="L78" s="1128"/>
      <c r="M78" s="1128"/>
      <c r="N78" s="1128"/>
      <c r="O78" s="1128"/>
    </row>
    <row r="79" spans="1:20" ht="81.75" customHeight="1">
      <c r="A79" s="2299"/>
      <c r="B79" s="2300"/>
      <c r="C79" s="1179" t="s">
        <v>13</v>
      </c>
      <c r="D79" s="1174">
        <f>SUM(D72:D78)</f>
        <v>863</v>
      </c>
      <c r="E79" s="1174">
        <f>SUM(E72:E78)</f>
        <v>17</v>
      </c>
      <c r="F79" s="1174">
        <f>SUM(F72:F78)</f>
        <v>130</v>
      </c>
      <c r="G79" s="1179">
        <f>SUM(G72:G78)</f>
        <v>891</v>
      </c>
      <c r="H79" s="1179">
        <v>0</v>
      </c>
      <c r="I79" s="1175">
        <f t="shared" ref="I79:O79" si="6">SUM(I72:I78)</f>
        <v>70</v>
      </c>
      <c r="J79" s="1175">
        <f t="shared" si="6"/>
        <v>0</v>
      </c>
      <c r="K79" s="1175">
        <f t="shared" si="6"/>
        <v>20</v>
      </c>
      <c r="L79" s="1175">
        <f t="shared" si="6"/>
        <v>2</v>
      </c>
      <c r="M79" s="1175">
        <f t="shared" si="6"/>
        <v>0</v>
      </c>
      <c r="N79" s="1175">
        <f t="shared" si="6"/>
        <v>0</v>
      </c>
      <c r="O79" s="1175">
        <f t="shared" si="6"/>
        <v>916</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c r="A83" s="146"/>
      <c r="B83" s="146"/>
    </row>
    <row r="84" spans="1:16" s="56" customFormat="1" ht="139.5" customHeight="1">
      <c r="A84" s="1180" t="s">
        <v>56</v>
      </c>
      <c r="B84" s="1181" t="s">
        <v>178</v>
      </c>
      <c r="C84" s="1182" t="s">
        <v>9</v>
      </c>
      <c r="D84" s="1183" t="s">
        <v>58</v>
      </c>
      <c r="E84" s="1184" t="s">
        <v>59</v>
      </c>
      <c r="F84" s="1184" t="s">
        <v>60</v>
      </c>
      <c r="G84" s="1184" t="s">
        <v>61</v>
      </c>
      <c r="H84" s="1184" t="s">
        <v>62</v>
      </c>
      <c r="I84" s="1184" t="s">
        <v>63</v>
      </c>
      <c r="J84" s="1184" t="s">
        <v>64</v>
      </c>
      <c r="K84" s="1184" t="s">
        <v>65</v>
      </c>
    </row>
    <row r="85" spans="1:16" ht="15" customHeight="1">
      <c r="A85" s="2301"/>
      <c r="B85" s="2302"/>
      <c r="C85" s="1185">
        <v>2014</v>
      </c>
      <c r="D85" s="1186"/>
      <c r="E85" s="1186"/>
      <c r="F85" s="1186"/>
      <c r="G85" s="1186"/>
      <c r="H85" s="1186"/>
      <c r="I85" s="1186"/>
      <c r="J85" s="1186"/>
      <c r="K85" s="1186"/>
    </row>
    <row r="86" spans="1:16">
      <c r="A86" s="2303"/>
      <c r="B86" s="2304"/>
      <c r="C86" s="1187">
        <v>2015</v>
      </c>
      <c r="D86" s="1188">
        <v>0</v>
      </c>
      <c r="E86" s="1188">
        <v>0</v>
      </c>
      <c r="F86" s="1188">
        <v>0</v>
      </c>
      <c r="G86" s="1188">
        <v>0</v>
      </c>
      <c r="H86" s="1188">
        <v>0</v>
      </c>
      <c r="I86" s="1188">
        <v>0</v>
      </c>
      <c r="J86" s="1188">
        <v>0</v>
      </c>
      <c r="K86" s="1188">
        <v>0</v>
      </c>
    </row>
    <row r="87" spans="1:16">
      <c r="A87" s="2303"/>
      <c r="B87" s="2304"/>
      <c r="C87" s="1187">
        <v>2016</v>
      </c>
      <c r="D87" s="1189">
        <v>1</v>
      </c>
      <c r="E87" s="1189">
        <v>0</v>
      </c>
      <c r="F87" s="1189">
        <v>1</v>
      </c>
      <c r="G87" s="1189">
        <v>0</v>
      </c>
      <c r="H87" s="1189">
        <v>0</v>
      </c>
      <c r="I87" s="1189">
        <v>0</v>
      </c>
      <c r="J87" s="1189">
        <v>0</v>
      </c>
      <c r="K87" s="1189">
        <v>0</v>
      </c>
    </row>
    <row r="88" spans="1:16">
      <c r="A88" s="2303"/>
      <c r="B88" s="2304"/>
      <c r="C88" s="1187">
        <v>2017</v>
      </c>
      <c r="D88" s="1189">
        <v>4</v>
      </c>
      <c r="E88" s="1189">
        <v>1</v>
      </c>
      <c r="F88" s="1189">
        <v>2</v>
      </c>
      <c r="G88" s="1189">
        <v>0</v>
      </c>
      <c r="H88" s="1189">
        <v>1</v>
      </c>
      <c r="I88" s="1189">
        <v>0</v>
      </c>
      <c r="J88" s="1189">
        <v>0</v>
      </c>
      <c r="K88" s="1189">
        <v>0</v>
      </c>
    </row>
    <row r="89" spans="1:16">
      <c r="A89" s="2303"/>
      <c r="B89" s="2304"/>
      <c r="C89" s="1187">
        <v>2018</v>
      </c>
      <c r="D89" s="1190"/>
      <c r="E89" s="1190"/>
      <c r="F89" s="1190"/>
      <c r="G89" s="1190"/>
      <c r="H89" s="1190"/>
      <c r="I89" s="1190"/>
      <c r="J89" s="1190"/>
      <c r="K89" s="1190"/>
    </row>
    <row r="90" spans="1:16">
      <c r="A90" s="2303"/>
      <c r="B90" s="2304"/>
      <c r="C90" s="1187">
        <v>2019</v>
      </c>
      <c r="D90" s="1188"/>
      <c r="E90" s="1188"/>
      <c r="F90" s="1188"/>
      <c r="G90" s="1188"/>
      <c r="H90" s="1188"/>
      <c r="I90" s="1188"/>
      <c r="J90" s="1188"/>
      <c r="K90" s="1188"/>
    </row>
    <row r="91" spans="1:16">
      <c r="A91" s="2303"/>
      <c r="B91" s="2304"/>
      <c r="C91" s="1187">
        <v>2020</v>
      </c>
      <c r="D91" s="1188"/>
      <c r="E91" s="1188"/>
      <c r="F91" s="1188"/>
      <c r="G91" s="1188"/>
      <c r="H91" s="1188"/>
      <c r="I91" s="1188"/>
      <c r="J91" s="1188"/>
      <c r="K91" s="1188"/>
    </row>
    <row r="92" spans="1:16" ht="18" customHeight="1">
      <c r="A92" s="2305"/>
      <c r="B92" s="2306"/>
      <c r="C92" s="1191" t="s">
        <v>13</v>
      </c>
      <c r="D92" s="1192">
        <f t="shared" ref="D92:I92" si="7">SUM(D85:D91)</f>
        <v>5</v>
      </c>
      <c r="E92" s="1193">
        <f t="shared" si="7"/>
        <v>1</v>
      </c>
      <c r="F92" s="1193">
        <f t="shared" si="7"/>
        <v>3</v>
      </c>
      <c r="G92" s="1193">
        <f t="shared" si="7"/>
        <v>0</v>
      </c>
      <c r="H92" s="1193">
        <f t="shared" si="7"/>
        <v>1</v>
      </c>
      <c r="I92" s="1193">
        <f t="shared" si="7"/>
        <v>0</v>
      </c>
      <c r="J92" s="1193">
        <f>SUM(J85:J91)</f>
        <v>0</v>
      </c>
      <c r="K92" s="1193">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c r="A95" s="161"/>
      <c r="B95" s="161"/>
    </row>
    <row r="96" spans="1:16" ht="29.25" customHeight="1">
      <c r="A96" s="2274" t="s">
        <v>68</v>
      </c>
      <c r="B96" s="2275" t="s">
        <v>326</v>
      </c>
      <c r="C96" s="2287" t="s">
        <v>9</v>
      </c>
      <c r="D96" s="2288" t="s">
        <v>70</v>
      </c>
      <c r="E96" s="2288"/>
      <c r="F96" s="1194" t="s">
        <v>71</v>
      </c>
      <c r="G96" s="1194"/>
      <c r="H96" s="1194"/>
      <c r="I96" s="1194"/>
      <c r="J96" s="1194"/>
      <c r="K96" s="1194"/>
      <c r="L96" s="1194"/>
      <c r="M96" s="1194"/>
      <c r="N96" s="165"/>
      <c r="O96" s="165"/>
      <c r="P96" s="165"/>
    </row>
    <row r="97" spans="1:16" ht="100.5" customHeight="1">
      <c r="A97" s="2274"/>
      <c r="B97" s="2276"/>
      <c r="C97" s="2287"/>
      <c r="D97" s="1195" t="s">
        <v>72</v>
      </c>
      <c r="E97" s="1195" t="s">
        <v>73</v>
      </c>
      <c r="F97" s="1196" t="s">
        <v>14</v>
      </c>
      <c r="G97" s="1197" t="s">
        <v>74</v>
      </c>
      <c r="H97" s="1195" t="s">
        <v>61</v>
      </c>
      <c r="I97" s="1195" t="s">
        <v>62</v>
      </c>
      <c r="J97" s="1195" t="s">
        <v>63</v>
      </c>
      <c r="K97" s="1196" t="s">
        <v>75</v>
      </c>
      <c r="L97" s="1195" t="s">
        <v>64</v>
      </c>
      <c r="M97" s="1195" t="s">
        <v>65</v>
      </c>
      <c r="N97" s="165"/>
      <c r="O97" s="165"/>
      <c r="P97" s="165"/>
    </row>
    <row r="98" spans="1:16" ht="17.25" customHeight="1">
      <c r="A98" s="1198" t="s">
        <v>327</v>
      </c>
      <c r="B98" s="2289"/>
      <c r="C98" s="1126">
        <v>2014</v>
      </c>
      <c r="D98" s="1126"/>
      <c r="E98" s="1126"/>
      <c r="F98" s="1126"/>
      <c r="G98" s="1126"/>
      <c r="H98" s="1126"/>
      <c r="I98" s="1126"/>
      <c r="J98" s="1126"/>
      <c r="K98" s="1126"/>
      <c r="L98" s="1126"/>
      <c r="M98" s="1126"/>
      <c r="N98" s="165"/>
      <c r="O98" s="165"/>
      <c r="P98" s="165"/>
    </row>
    <row r="99" spans="1:16" ht="16.5" customHeight="1">
      <c r="A99" s="1199" t="s">
        <v>328</v>
      </c>
      <c r="B99" s="2290"/>
      <c r="C99" s="1128">
        <v>2015</v>
      </c>
      <c r="D99" s="1128">
        <v>1</v>
      </c>
      <c r="E99" s="1128">
        <v>2</v>
      </c>
      <c r="F99" s="1128">
        <v>0</v>
      </c>
      <c r="G99" s="1128">
        <v>0</v>
      </c>
      <c r="H99" s="1128">
        <v>0</v>
      </c>
      <c r="I99" s="1128">
        <v>0</v>
      </c>
      <c r="J99" s="1128">
        <v>0</v>
      </c>
      <c r="K99" s="1128">
        <v>0</v>
      </c>
      <c r="L99" s="1128">
        <v>0</v>
      </c>
      <c r="M99" s="1128">
        <v>1</v>
      </c>
      <c r="N99" s="165"/>
      <c r="O99" s="165"/>
      <c r="P99" s="165"/>
    </row>
    <row r="100" spans="1:16" ht="16.5" customHeight="1">
      <c r="A100" s="1200" t="s">
        <v>329</v>
      </c>
      <c r="B100" s="2290"/>
      <c r="C100" s="1128">
        <v>2016</v>
      </c>
      <c r="D100" s="1129">
        <v>1</v>
      </c>
      <c r="E100" s="1128">
        <f>1+6</f>
        <v>7</v>
      </c>
      <c r="F100" s="1128">
        <v>0</v>
      </c>
      <c r="G100" s="1128">
        <v>0</v>
      </c>
      <c r="H100" s="1128">
        <v>0</v>
      </c>
      <c r="I100" s="1128">
        <v>0</v>
      </c>
      <c r="J100" s="1128">
        <v>0</v>
      </c>
      <c r="K100" s="1128">
        <v>0</v>
      </c>
      <c r="L100" s="1128">
        <v>0</v>
      </c>
      <c r="M100" s="1128">
        <v>1</v>
      </c>
      <c r="N100" s="165"/>
      <c r="O100" s="165"/>
      <c r="P100" s="165"/>
    </row>
    <row r="101" spans="1:16" ht="14.25" customHeight="1">
      <c r="A101" s="1199" t="s">
        <v>330</v>
      </c>
      <c r="B101" s="2290"/>
      <c r="C101" s="1128">
        <v>2017</v>
      </c>
      <c r="D101" s="1128">
        <v>1</v>
      </c>
      <c r="E101" s="1128">
        <v>8</v>
      </c>
      <c r="F101" s="1128">
        <v>0</v>
      </c>
      <c r="G101" s="1128">
        <v>0</v>
      </c>
      <c r="H101" s="1128">
        <v>0</v>
      </c>
      <c r="I101" s="1128">
        <v>0</v>
      </c>
      <c r="J101" s="1128">
        <v>0</v>
      </c>
      <c r="K101" s="1128">
        <v>0</v>
      </c>
      <c r="L101" s="1128">
        <v>0</v>
      </c>
      <c r="M101" s="1128">
        <v>1</v>
      </c>
      <c r="N101" s="165"/>
      <c r="O101" s="165"/>
      <c r="P101" s="165"/>
    </row>
    <row r="102" spans="1:16" ht="15.75" customHeight="1">
      <c r="A102" s="1199" t="s">
        <v>331</v>
      </c>
      <c r="B102" s="2290"/>
      <c r="C102" s="1128">
        <v>2018</v>
      </c>
      <c r="D102" s="1128"/>
      <c r="E102" s="1128"/>
      <c r="F102" s="1128"/>
      <c r="G102" s="1128"/>
      <c r="H102" s="1128"/>
      <c r="I102" s="1128"/>
      <c r="J102" s="1128"/>
      <c r="K102" s="1128"/>
      <c r="L102" s="1128"/>
      <c r="M102" s="1128"/>
      <c r="N102" s="165"/>
      <c r="O102" s="165"/>
      <c r="P102" s="165"/>
    </row>
    <row r="103" spans="1:16" ht="14.25" customHeight="1">
      <c r="A103" s="1201"/>
      <c r="B103" s="2290"/>
      <c r="C103" s="1128">
        <v>2019</v>
      </c>
      <c r="D103" s="1128"/>
      <c r="E103" s="1128"/>
      <c r="F103" s="1128"/>
      <c r="G103" s="1128"/>
      <c r="H103" s="1128"/>
      <c r="I103" s="1128"/>
      <c r="J103" s="1128"/>
      <c r="K103" s="1128"/>
      <c r="L103" s="1128"/>
      <c r="M103" s="1128"/>
      <c r="N103" s="165"/>
      <c r="O103" s="165"/>
      <c r="P103" s="165"/>
    </row>
    <row r="104" spans="1:16" ht="14.25" customHeight="1">
      <c r="A104" s="1202"/>
      <c r="B104" s="2290"/>
      <c r="C104" s="1128">
        <v>2020</v>
      </c>
      <c r="D104" s="1128"/>
      <c r="E104" s="1128"/>
      <c r="F104" s="1128"/>
      <c r="G104" s="1128"/>
      <c r="H104" s="1128"/>
      <c r="I104" s="1128"/>
      <c r="J104" s="1128"/>
      <c r="K104" s="1128"/>
      <c r="L104" s="1128"/>
      <c r="M104" s="1128"/>
      <c r="N104" s="165"/>
      <c r="O104" s="165"/>
      <c r="P104" s="165"/>
    </row>
    <row r="105" spans="1:16">
      <c r="A105" s="1201"/>
      <c r="B105" s="2291"/>
      <c r="C105" s="1173" t="s">
        <v>13</v>
      </c>
      <c r="D105" s="1175">
        <f>SUM(D98:D104)</f>
        <v>3</v>
      </c>
      <c r="E105" s="1175">
        <f t="shared" ref="E105:K105" si="8">SUM(E98:E104)</f>
        <v>17</v>
      </c>
      <c r="F105" s="1175">
        <f t="shared" si="8"/>
        <v>0</v>
      </c>
      <c r="G105" s="1175">
        <f t="shared" si="8"/>
        <v>0</v>
      </c>
      <c r="H105" s="1175">
        <f t="shared" si="8"/>
        <v>0</v>
      </c>
      <c r="I105" s="1175">
        <f>SUM(I98:I104)</f>
        <v>0</v>
      </c>
      <c r="J105" s="1175">
        <f t="shared" si="8"/>
        <v>0</v>
      </c>
      <c r="K105" s="1175">
        <f t="shared" si="8"/>
        <v>0</v>
      </c>
      <c r="L105" s="1175">
        <f>SUM(L98:L104)</f>
        <v>0</v>
      </c>
      <c r="M105" s="1175">
        <f>SUM(M98:M104)</f>
        <v>3</v>
      </c>
      <c r="N105" s="165"/>
      <c r="O105" s="165"/>
      <c r="P105" s="165"/>
    </row>
    <row r="106" spans="1:16">
      <c r="A106" s="1203"/>
      <c r="B106" s="183"/>
      <c r="C106" s="184"/>
      <c r="D106" s="7"/>
      <c r="E106" s="7"/>
      <c r="H106" s="185"/>
      <c r="I106" s="185"/>
      <c r="J106" s="185"/>
      <c r="K106" s="185"/>
      <c r="L106" s="185"/>
      <c r="M106" s="185"/>
      <c r="N106" s="185"/>
    </row>
    <row r="107" spans="1:16" ht="15" customHeight="1">
      <c r="A107" s="2274" t="s">
        <v>77</v>
      </c>
      <c r="B107" s="2275" t="s">
        <v>326</v>
      </c>
      <c r="C107" s="2277" t="s">
        <v>9</v>
      </c>
      <c r="D107" s="2288" t="s">
        <v>78</v>
      </c>
      <c r="E107" s="1194" t="s">
        <v>79</v>
      </c>
      <c r="F107" s="1194"/>
      <c r="G107" s="1194"/>
      <c r="H107" s="1194"/>
      <c r="I107" s="1194"/>
      <c r="J107" s="1194"/>
      <c r="K107" s="1194"/>
      <c r="L107" s="1194"/>
      <c r="M107" s="185"/>
      <c r="N107" s="185"/>
    </row>
    <row r="108" spans="1:16" ht="103.5" customHeight="1">
      <c r="A108" s="2274"/>
      <c r="B108" s="2276"/>
      <c r="C108" s="2278"/>
      <c r="D108" s="2288"/>
      <c r="E108" s="1196" t="s">
        <v>14</v>
      </c>
      <c r="F108" s="1197" t="s">
        <v>74</v>
      </c>
      <c r="G108" s="1195" t="s">
        <v>61</v>
      </c>
      <c r="H108" s="1195" t="s">
        <v>62</v>
      </c>
      <c r="I108" s="1195" t="s">
        <v>63</v>
      </c>
      <c r="J108" s="1196" t="s">
        <v>75</v>
      </c>
      <c r="K108" s="1195" t="s">
        <v>64</v>
      </c>
      <c r="L108" s="1195" t="s">
        <v>65</v>
      </c>
      <c r="M108" s="185"/>
      <c r="N108" s="185"/>
    </row>
    <row r="109" spans="1:16">
      <c r="A109" s="2259"/>
      <c r="B109" s="2260"/>
      <c r="C109" s="1126">
        <v>2014</v>
      </c>
      <c r="D109" s="1126"/>
      <c r="E109" s="1126"/>
      <c r="F109" s="1126"/>
      <c r="G109" s="1126"/>
      <c r="H109" s="1126"/>
      <c r="I109" s="1126"/>
      <c r="J109" s="1126"/>
      <c r="K109" s="1126"/>
      <c r="L109" s="1126"/>
      <c r="M109" s="185"/>
      <c r="N109" s="185"/>
    </row>
    <row r="110" spans="1:16">
      <c r="A110" s="2261"/>
      <c r="B110" s="2262"/>
      <c r="C110" s="1128">
        <v>2015</v>
      </c>
      <c r="D110" s="1128">
        <v>0</v>
      </c>
      <c r="E110" s="1128">
        <v>0</v>
      </c>
      <c r="F110" s="1128">
        <v>0</v>
      </c>
      <c r="G110" s="1128">
        <v>0</v>
      </c>
      <c r="H110" s="1128">
        <v>0</v>
      </c>
      <c r="I110" s="1128">
        <v>0</v>
      </c>
      <c r="J110" s="1128">
        <v>0</v>
      </c>
      <c r="K110" s="1128">
        <v>0</v>
      </c>
      <c r="L110" s="1128">
        <v>0</v>
      </c>
      <c r="M110" s="185"/>
      <c r="N110" s="185"/>
    </row>
    <row r="111" spans="1:16">
      <c r="A111" s="2261"/>
      <c r="B111" s="2262"/>
      <c r="C111" s="1128">
        <v>2016</v>
      </c>
      <c r="D111" s="1128">
        <v>0</v>
      </c>
      <c r="E111" s="1128">
        <v>0</v>
      </c>
      <c r="F111" s="1128">
        <v>0</v>
      </c>
      <c r="G111" s="1128">
        <v>0</v>
      </c>
      <c r="H111" s="1128">
        <v>0</v>
      </c>
      <c r="I111" s="1128">
        <v>0</v>
      </c>
      <c r="J111" s="1128">
        <v>0</v>
      </c>
      <c r="K111" s="1128">
        <v>0</v>
      </c>
      <c r="L111" s="1128">
        <v>0</v>
      </c>
      <c r="M111" s="185"/>
      <c r="N111" s="185"/>
    </row>
    <row r="112" spans="1:16">
      <c r="A112" s="2261"/>
      <c r="B112" s="2262"/>
      <c r="C112" s="1128">
        <v>2017</v>
      </c>
      <c r="D112" s="1128">
        <v>0</v>
      </c>
      <c r="E112" s="1128">
        <v>0</v>
      </c>
      <c r="F112" s="1128">
        <v>0</v>
      </c>
      <c r="G112" s="1128">
        <v>0</v>
      </c>
      <c r="H112" s="1128">
        <v>0</v>
      </c>
      <c r="I112" s="1128">
        <v>0</v>
      </c>
      <c r="J112" s="1128">
        <v>0</v>
      </c>
      <c r="K112" s="1128">
        <v>0</v>
      </c>
      <c r="L112" s="1128">
        <v>0</v>
      </c>
      <c r="M112" s="185"/>
      <c r="N112" s="185"/>
    </row>
    <row r="113" spans="1:14">
      <c r="A113" s="2261"/>
      <c r="B113" s="2262"/>
      <c r="C113" s="1128">
        <v>2018</v>
      </c>
      <c r="D113" s="1128"/>
      <c r="E113" s="1128"/>
      <c r="F113" s="1128"/>
      <c r="G113" s="1128"/>
      <c r="H113" s="1128"/>
      <c r="I113" s="1128"/>
      <c r="J113" s="1128"/>
      <c r="K113" s="1128"/>
      <c r="L113" s="1128"/>
      <c r="M113" s="185"/>
      <c r="N113" s="185"/>
    </row>
    <row r="114" spans="1:14">
      <c r="A114" s="2261"/>
      <c r="B114" s="2262"/>
      <c r="C114" s="1128">
        <v>2019</v>
      </c>
      <c r="D114" s="1128"/>
      <c r="E114" s="1128"/>
      <c r="F114" s="1128"/>
      <c r="G114" s="1128"/>
      <c r="H114" s="1128"/>
      <c r="I114" s="1128"/>
      <c r="J114" s="1128"/>
      <c r="K114" s="1128"/>
      <c r="L114" s="1128"/>
      <c r="M114" s="185"/>
      <c r="N114" s="185"/>
    </row>
    <row r="115" spans="1:14">
      <c r="A115" s="2261"/>
      <c r="B115" s="2262"/>
      <c r="C115" s="1128">
        <v>2020</v>
      </c>
      <c r="D115" s="1128"/>
      <c r="E115" s="1128"/>
      <c r="F115" s="1128"/>
      <c r="G115" s="1128"/>
      <c r="H115" s="1128"/>
      <c r="I115" s="1128"/>
      <c r="J115" s="1128"/>
      <c r="K115" s="1128"/>
      <c r="L115" s="1128"/>
      <c r="M115" s="185"/>
      <c r="N115" s="185"/>
    </row>
    <row r="116" spans="1:14" ht="18" customHeight="1">
      <c r="A116" s="2286"/>
      <c r="B116" s="2264"/>
      <c r="C116" s="1173" t="s">
        <v>13</v>
      </c>
      <c r="D116" s="1175">
        <f t="shared" ref="D116:I116" si="9">SUM(D109:D115)</f>
        <v>0</v>
      </c>
      <c r="E116" s="1175">
        <f t="shared" si="9"/>
        <v>0</v>
      </c>
      <c r="F116" s="1175">
        <f t="shared" si="9"/>
        <v>0</v>
      </c>
      <c r="G116" s="1175">
        <f t="shared" si="9"/>
        <v>0</v>
      </c>
      <c r="H116" s="1175">
        <f t="shared" si="9"/>
        <v>0</v>
      </c>
      <c r="I116" s="1175">
        <f t="shared" si="9"/>
        <v>0</v>
      </c>
      <c r="J116" s="1175"/>
      <c r="K116" s="1175">
        <f>SUM(K109:K115)</f>
        <v>0</v>
      </c>
      <c r="L116" s="1175">
        <f>SUM(L109:L115)</f>
        <v>0</v>
      </c>
      <c r="M116" s="185"/>
      <c r="N116" s="185"/>
    </row>
    <row r="117" spans="1:14" ht="21">
      <c r="A117" s="186"/>
      <c r="B117" s="187"/>
      <c r="C117" s="65"/>
      <c r="D117" s="65"/>
      <c r="E117" s="65"/>
      <c r="F117" s="65"/>
      <c r="G117" s="65"/>
      <c r="H117" s="65"/>
      <c r="I117" s="65"/>
      <c r="J117" s="65"/>
      <c r="K117" s="65"/>
      <c r="L117" s="65"/>
      <c r="M117" s="185"/>
      <c r="N117" s="185"/>
    </row>
    <row r="118" spans="1:14" ht="15" customHeight="1">
      <c r="A118" s="2274" t="s">
        <v>81</v>
      </c>
      <c r="B118" s="2275" t="s">
        <v>326</v>
      </c>
      <c r="C118" s="2287" t="s">
        <v>9</v>
      </c>
      <c r="D118" s="2288" t="s">
        <v>82</v>
      </c>
      <c r="E118" s="1194" t="s">
        <v>79</v>
      </c>
      <c r="F118" s="1194"/>
      <c r="G118" s="1194"/>
      <c r="H118" s="1194"/>
      <c r="I118" s="1194"/>
      <c r="J118" s="1194"/>
      <c r="K118" s="1194"/>
      <c r="L118" s="1194"/>
      <c r="M118" s="185"/>
      <c r="N118" s="185"/>
    </row>
    <row r="119" spans="1:14" ht="120.75" customHeight="1">
      <c r="A119" s="2274"/>
      <c r="B119" s="2276"/>
      <c r="C119" s="2287"/>
      <c r="D119" s="2288"/>
      <c r="E119" s="1196" t="s">
        <v>14</v>
      </c>
      <c r="F119" s="1197" t="s">
        <v>74</v>
      </c>
      <c r="G119" s="1195" t="s">
        <v>61</v>
      </c>
      <c r="H119" s="1195" t="s">
        <v>62</v>
      </c>
      <c r="I119" s="1195" t="s">
        <v>63</v>
      </c>
      <c r="J119" s="1196" t="s">
        <v>75</v>
      </c>
      <c r="K119" s="1195" t="s">
        <v>64</v>
      </c>
      <c r="L119" s="1195" t="s">
        <v>65</v>
      </c>
      <c r="M119" s="185"/>
      <c r="N119" s="185"/>
    </row>
    <row r="120" spans="1:14">
      <c r="A120" s="2259"/>
      <c r="B120" s="2260"/>
      <c r="C120" s="1126">
        <v>2014</v>
      </c>
      <c r="D120" s="1126"/>
      <c r="E120" s="1126"/>
      <c r="F120" s="1126"/>
      <c r="G120" s="1126"/>
      <c r="H120" s="1126"/>
      <c r="I120" s="1126"/>
      <c r="J120" s="1126"/>
      <c r="K120" s="1126"/>
      <c r="L120" s="1126"/>
      <c r="M120" s="185"/>
      <c r="N120" s="185"/>
    </row>
    <row r="121" spans="1:14">
      <c r="A121" s="2261"/>
      <c r="B121" s="2262"/>
      <c r="C121" s="1128">
        <v>2015</v>
      </c>
      <c r="D121" s="1128">
        <v>0</v>
      </c>
      <c r="E121" s="1128">
        <v>0</v>
      </c>
      <c r="F121" s="1128">
        <v>0</v>
      </c>
      <c r="G121" s="1128">
        <v>0</v>
      </c>
      <c r="H121" s="1128">
        <v>0</v>
      </c>
      <c r="I121" s="1128">
        <v>0</v>
      </c>
      <c r="J121" s="1128">
        <v>0</v>
      </c>
      <c r="K121" s="1128">
        <v>0</v>
      </c>
      <c r="L121" s="1128">
        <v>0</v>
      </c>
      <c r="M121" s="185"/>
      <c r="N121" s="185"/>
    </row>
    <row r="122" spans="1:14">
      <c r="A122" s="2261"/>
      <c r="B122" s="2262"/>
      <c r="C122" s="1128">
        <v>2016</v>
      </c>
      <c r="D122" s="1128">
        <v>0</v>
      </c>
      <c r="E122" s="1128">
        <v>0</v>
      </c>
      <c r="F122" s="1128">
        <v>0</v>
      </c>
      <c r="G122" s="1128">
        <v>0</v>
      </c>
      <c r="H122" s="1128">
        <v>0</v>
      </c>
      <c r="I122" s="1128">
        <v>0</v>
      </c>
      <c r="J122" s="1128">
        <v>0</v>
      </c>
      <c r="K122" s="1128">
        <v>0</v>
      </c>
      <c r="L122" s="1128">
        <v>0</v>
      </c>
      <c r="M122" s="185"/>
      <c r="N122" s="185"/>
    </row>
    <row r="123" spans="1:14">
      <c r="A123" s="2261"/>
      <c r="B123" s="2262"/>
      <c r="C123" s="1128">
        <v>2017</v>
      </c>
      <c r="D123" s="1128">
        <v>0</v>
      </c>
      <c r="E123" s="1128">
        <v>0</v>
      </c>
      <c r="F123" s="1128">
        <v>0</v>
      </c>
      <c r="G123" s="1128">
        <v>0</v>
      </c>
      <c r="H123" s="1128">
        <v>0</v>
      </c>
      <c r="I123" s="1128">
        <v>0</v>
      </c>
      <c r="J123" s="1128">
        <v>0</v>
      </c>
      <c r="K123" s="1128">
        <v>0</v>
      </c>
      <c r="L123" s="1128">
        <v>0</v>
      </c>
      <c r="M123" s="185"/>
      <c r="N123" s="185"/>
    </row>
    <row r="124" spans="1:14">
      <c r="A124" s="2261"/>
      <c r="B124" s="2262"/>
      <c r="C124" s="1128">
        <v>2018</v>
      </c>
      <c r="D124" s="1128"/>
      <c r="E124" s="1128"/>
      <c r="F124" s="1128"/>
      <c r="G124" s="1128"/>
      <c r="H124" s="1128"/>
      <c r="I124" s="1128"/>
      <c r="J124" s="1128"/>
      <c r="K124" s="1128"/>
      <c r="L124" s="1128"/>
      <c r="M124" s="185"/>
      <c r="N124" s="185"/>
    </row>
    <row r="125" spans="1:14">
      <c r="A125" s="2261"/>
      <c r="B125" s="2262"/>
      <c r="C125" s="1128">
        <v>2019</v>
      </c>
      <c r="D125" s="1128"/>
      <c r="E125" s="1128"/>
      <c r="F125" s="1128"/>
      <c r="G125" s="1128"/>
      <c r="H125" s="1128"/>
      <c r="I125" s="1128"/>
      <c r="J125" s="1128"/>
      <c r="K125" s="1128"/>
      <c r="L125" s="1128"/>
      <c r="M125" s="185"/>
      <c r="N125" s="185"/>
    </row>
    <row r="126" spans="1:14">
      <c r="A126" s="2261"/>
      <c r="B126" s="2262"/>
      <c r="C126" s="1128">
        <v>2020</v>
      </c>
      <c r="D126" s="1128"/>
      <c r="E126" s="1128"/>
      <c r="F126" s="1128"/>
      <c r="G126" s="1128"/>
      <c r="H126" s="1128"/>
      <c r="I126" s="1128"/>
      <c r="J126" s="1128"/>
      <c r="K126" s="1128"/>
      <c r="L126" s="1128"/>
      <c r="M126" s="185"/>
      <c r="N126" s="185"/>
    </row>
    <row r="127" spans="1:14">
      <c r="A127" s="2286"/>
      <c r="B127" s="2264"/>
      <c r="C127" s="1173" t="s">
        <v>13</v>
      </c>
      <c r="D127" s="1175">
        <f t="shared" ref="D127:I127" si="10">SUM(D120:D126)</f>
        <v>0</v>
      </c>
      <c r="E127" s="1175">
        <f t="shared" si="10"/>
        <v>0</v>
      </c>
      <c r="F127" s="1175">
        <f t="shared" si="10"/>
        <v>0</v>
      </c>
      <c r="G127" s="1175">
        <f t="shared" si="10"/>
        <v>0</v>
      </c>
      <c r="H127" s="1175">
        <f t="shared" si="10"/>
        <v>0</v>
      </c>
      <c r="I127" s="1175">
        <f t="shared" si="10"/>
        <v>0</v>
      </c>
      <c r="J127" s="1175"/>
      <c r="K127" s="1175">
        <f>SUM(K120:K126)</f>
        <v>0</v>
      </c>
      <c r="L127" s="1175">
        <f>SUM(L120:L126)</f>
        <v>0</v>
      </c>
      <c r="M127" s="185"/>
      <c r="N127" s="185"/>
    </row>
    <row r="128" spans="1:14">
      <c r="A128" s="183"/>
      <c r="B128" s="183"/>
      <c r="C128" s="184"/>
      <c r="D128" s="7"/>
      <c r="E128" s="7"/>
      <c r="H128" s="185"/>
      <c r="I128" s="185"/>
      <c r="J128" s="185"/>
      <c r="K128" s="185"/>
      <c r="L128" s="185"/>
      <c r="M128" s="185"/>
      <c r="N128" s="185"/>
    </row>
    <row r="129" spans="1:16" ht="15" customHeight="1">
      <c r="A129" s="2274" t="s">
        <v>84</v>
      </c>
      <c r="B129" s="2275" t="s">
        <v>326</v>
      </c>
      <c r="C129" s="2277" t="s">
        <v>9</v>
      </c>
      <c r="D129" s="1204" t="s">
        <v>85</v>
      </c>
      <c r="E129" s="1204"/>
      <c r="F129" s="1204"/>
      <c r="G129" s="1204"/>
      <c r="H129" s="185"/>
      <c r="I129" s="185"/>
      <c r="J129" s="185"/>
      <c r="K129" s="185"/>
      <c r="L129" s="185"/>
      <c r="M129" s="185"/>
      <c r="N129" s="185"/>
    </row>
    <row r="130" spans="1:16" ht="77.25" customHeight="1">
      <c r="A130" s="2274"/>
      <c r="B130" s="2276"/>
      <c r="C130" s="2278"/>
      <c r="D130" s="1195" t="s">
        <v>86</v>
      </c>
      <c r="E130" s="1205" t="s">
        <v>87</v>
      </c>
      <c r="F130" s="1195" t="s">
        <v>88</v>
      </c>
      <c r="G130" s="1206" t="s">
        <v>13</v>
      </c>
      <c r="H130" s="185"/>
      <c r="I130" s="185"/>
      <c r="J130" s="185"/>
      <c r="K130" s="185"/>
      <c r="L130" s="185"/>
      <c r="M130" s="185"/>
      <c r="N130" s="185"/>
    </row>
    <row r="131" spans="1:16" ht="15" customHeight="1">
      <c r="A131" s="2279" t="s">
        <v>332</v>
      </c>
      <c r="B131" s="2280"/>
      <c r="C131" s="1129">
        <v>2015</v>
      </c>
      <c r="D131" s="1135">
        <v>18</v>
      </c>
      <c r="E131" s="1129">
        <v>0</v>
      </c>
      <c r="F131" s="1129">
        <v>0</v>
      </c>
      <c r="G131" s="1175">
        <f t="shared" ref="G131:G136" si="11">SUM(D131:F131)</f>
        <v>18</v>
      </c>
      <c r="H131" s="185"/>
      <c r="I131" s="185"/>
      <c r="J131" s="185"/>
      <c r="K131" s="185"/>
      <c r="L131" s="185"/>
      <c r="M131" s="185"/>
      <c r="N131" s="185"/>
    </row>
    <row r="132" spans="1:16" ht="29.25" customHeight="1">
      <c r="A132" s="2281"/>
      <c r="B132" s="2282"/>
      <c r="C132" s="1128">
        <v>2016</v>
      </c>
      <c r="D132" s="1135">
        <v>60</v>
      </c>
      <c r="E132" s="1128">
        <v>0</v>
      </c>
      <c r="F132" s="1128">
        <v>0</v>
      </c>
      <c r="G132" s="1175">
        <f t="shared" si="11"/>
        <v>60</v>
      </c>
      <c r="H132" s="185"/>
      <c r="I132" s="185"/>
      <c r="J132" s="185"/>
      <c r="K132" s="185"/>
      <c r="L132" s="185"/>
      <c r="M132" s="185"/>
      <c r="N132" s="185"/>
    </row>
    <row r="133" spans="1:16">
      <c r="A133" s="2281"/>
      <c r="B133" s="2282"/>
      <c r="C133" s="1128">
        <v>2017</v>
      </c>
      <c r="D133" s="1128">
        <v>77</v>
      </c>
      <c r="E133" s="1128">
        <v>0</v>
      </c>
      <c r="F133" s="1128">
        <v>0</v>
      </c>
      <c r="G133" s="1175">
        <f t="shared" si="11"/>
        <v>77</v>
      </c>
      <c r="H133" s="185"/>
      <c r="I133" s="185"/>
      <c r="J133" s="185"/>
      <c r="K133" s="185"/>
      <c r="L133" s="185"/>
      <c r="M133" s="185"/>
      <c r="N133" s="185"/>
    </row>
    <row r="134" spans="1:16">
      <c r="A134" s="2281"/>
      <c r="B134" s="2282"/>
      <c r="C134" s="1128">
        <v>2018</v>
      </c>
      <c r="D134" s="1128"/>
      <c r="E134" s="1128"/>
      <c r="F134" s="1128"/>
      <c r="G134" s="1175">
        <f t="shared" si="11"/>
        <v>0</v>
      </c>
      <c r="H134" s="185"/>
      <c r="I134" s="185"/>
      <c r="J134" s="185"/>
      <c r="K134" s="185"/>
      <c r="L134" s="185"/>
      <c r="M134" s="185"/>
      <c r="N134" s="185"/>
    </row>
    <row r="135" spans="1:16">
      <c r="A135" s="2281"/>
      <c r="B135" s="2282"/>
      <c r="C135" s="1128">
        <v>2019</v>
      </c>
      <c r="D135" s="1128"/>
      <c r="E135" s="1128"/>
      <c r="F135" s="1128"/>
      <c r="G135" s="1175">
        <f t="shared" si="11"/>
        <v>0</v>
      </c>
      <c r="H135" s="185"/>
      <c r="I135" s="185"/>
      <c r="J135" s="185"/>
      <c r="K135" s="185"/>
      <c r="L135" s="185"/>
      <c r="M135" s="185"/>
      <c r="N135" s="185"/>
    </row>
    <row r="136" spans="1:16">
      <c r="A136" s="2281"/>
      <c r="B136" s="2282"/>
      <c r="C136" s="1128">
        <v>2020</v>
      </c>
      <c r="D136" s="1128"/>
      <c r="E136" s="1128"/>
      <c r="F136" s="1128"/>
      <c r="G136" s="1175">
        <f t="shared" si="11"/>
        <v>0</v>
      </c>
      <c r="H136" s="185"/>
      <c r="I136" s="185"/>
      <c r="J136" s="185"/>
      <c r="K136" s="185"/>
      <c r="L136" s="185"/>
      <c r="M136" s="185"/>
      <c r="N136" s="185"/>
    </row>
    <row r="137" spans="1:16" ht="17.25" customHeight="1">
      <c r="A137" s="2283"/>
      <c r="B137" s="2284"/>
      <c r="C137" s="1173" t="s">
        <v>13</v>
      </c>
      <c r="D137" s="1175">
        <f>SUM(D131:D136)</f>
        <v>155</v>
      </c>
      <c r="E137" s="1175">
        <f t="shared" ref="E137:F137" si="12">SUM(E131:E136)</f>
        <v>0</v>
      </c>
      <c r="F137" s="1175">
        <f t="shared" si="12"/>
        <v>0</v>
      </c>
      <c r="G137" s="1207">
        <f>SUM(G131:G136)</f>
        <v>155</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c r="A141" s="202"/>
      <c r="B141" s="119"/>
      <c r="C141" s="141"/>
      <c r="D141" s="78"/>
      <c r="E141" s="78"/>
      <c r="F141" s="78"/>
      <c r="G141" s="78"/>
      <c r="H141" s="78"/>
      <c r="I141" s="165"/>
      <c r="J141" s="165"/>
      <c r="K141" s="165"/>
      <c r="L141" s="165"/>
      <c r="M141" s="165"/>
      <c r="N141" s="165"/>
      <c r="O141" s="165"/>
      <c r="P141" s="165"/>
    </row>
    <row r="142" spans="1:16" ht="21.75" customHeight="1">
      <c r="A142" s="2265" t="s">
        <v>91</v>
      </c>
      <c r="B142" s="2266" t="s">
        <v>326</v>
      </c>
      <c r="C142" s="2285" t="s">
        <v>9</v>
      </c>
      <c r="D142" s="1208" t="s">
        <v>92</v>
      </c>
      <c r="E142" s="1208"/>
      <c r="F142" s="1208"/>
      <c r="G142" s="1208"/>
      <c r="H142" s="1208"/>
      <c r="I142" s="1208"/>
      <c r="J142" s="2258" t="s">
        <v>93</v>
      </c>
      <c r="K142" s="2258"/>
      <c r="L142" s="2258"/>
      <c r="M142" s="2258"/>
      <c r="N142" s="2258"/>
      <c r="O142" s="165"/>
      <c r="P142" s="165"/>
    </row>
    <row r="143" spans="1:16" ht="148.5" customHeight="1">
      <c r="A143" s="2265"/>
      <c r="B143" s="2266"/>
      <c r="C143" s="2285"/>
      <c r="D143" s="1209" t="s">
        <v>94</v>
      </c>
      <c r="E143" s="1210" t="s">
        <v>95</v>
      </c>
      <c r="F143" s="1209" t="s">
        <v>96</v>
      </c>
      <c r="G143" s="1209" t="s">
        <v>97</v>
      </c>
      <c r="H143" s="1209" t="s">
        <v>98</v>
      </c>
      <c r="I143" s="1209" t="s">
        <v>99</v>
      </c>
      <c r="J143" s="1211" t="s">
        <v>100</v>
      </c>
      <c r="K143" s="1212" t="s">
        <v>101</v>
      </c>
      <c r="L143" s="1211" t="s">
        <v>102</v>
      </c>
      <c r="M143" s="1212" t="s">
        <v>101</v>
      </c>
      <c r="N143" s="1211" t="s">
        <v>103</v>
      </c>
      <c r="O143" s="165"/>
      <c r="P143" s="165"/>
    </row>
    <row r="144" spans="1:16" ht="19.5" customHeight="1">
      <c r="A144" s="2259"/>
      <c r="B144" s="2260"/>
      <c r="C144" s="1126">
        <v>2014</v>
      </c>
      <c r="D144" s="1126"/>
      <c r="E144" s="1126"/>
      <c r="F144" s="1126"/>
      <c r="G144" s="1126"/>
      <c r="H144" s="1126"/>
      <c r="I144" s="1175">
        <f>D144+F144+G144+H144</f>
        <v>0</v>
      </c>
      <c r="J144" s="1126"/>
      <c r="K144" s="1126"/>
      <c r="L144" s="1126"/>
      <c r="M144" s="1126"/>
      <c r="N144" s="1126"/>
      <c r="O144" s="165"/>
      <c r="P144" s="165"/>
    </row>
    <row r="145" spans="1:16" ht="19.5" customHeight="1">
      <c r="A145" s="2261"/>
      <c r="B145" s="2262"/>
      <c r="C145" s="1128">
        <v>2015</v>
      </c>
      <c r="D145" s="1128">
        <v>0</v>
      </c>
      <c r="E145" s="1128">
        <v>0</v>
      </c>
      <c r="F145" s="1128">
        <v>0</v>
      </c>
      <c r="G145" s="1128">
        <v>0</v>
      </c>
      <c r="H145" s="1128">
        <v>0</v>
      </c>
      <c r="I145" s="1175">
        <v>0</v>
      </c>
      <c r="J145" s="1128">
        <v>0</v>
      </c>
      <c r="K145" s="1128">
        <v>0</v>
      </c>
      <c r="L145" s="1128">
        <v>0</v>
      </c>
      <c r="M145" s="1128">
        <v>0</v>
      </c>
      <c r="N145" s="1128">
        <v>0</v>
      </c>
      <c r="O145" s="165"/>
      <c r="P145" s="165"/>
    </row>
    <row r="146" spans="1:16" ht="20.25" customHeight="1">
      <c r="A146" s="2261"/>
      <c r="B146" s="2262"/>
      <c r="C146" s="1128">
        <v>2016</v>
      </c>
      <c r="D146" s="1128">
        <v>0</v>
      </c>
      <c r="E146" s="1128">
        <v>0</v>
      </c>
      <c r="F146" s="1128">
        <v>0</v>
      </c>
      <c r="G146" s="1128">
        <v>0</v>
      </c>
      <c r="H146" s="1128">
        <v>0</v>
      </c>
      <c r="I146" s="1175">
        <v>0</v>
      </c>
      <c r="J146" s="1128">
        <v>0</v>
      </c>
      <c r="K146" s="1128">
        <v>0</v>
      </c>
      <c r="L146" s="1128">
        <v>0</v>
      </c>
      <c r="M146" s="1128">
        <v>0</v>
      </c>
      <c r="N146" s="1128">
        <v>0</v>
      </c>
      <c r="O146" s="165"/>
      <c r="P146" s="165"/>
    </row>
    <row r="147" spans="1:16" ht="17.25" customHeight="1">
      <c r="A147" s="2261"/>
      <c r="B147" s="2262"/>
      <c r="C147" s="1128">
        <v>2017</v>
      </c>
      <c r="D147" s="1128">
        <v>0</v>
      </c>
      <c r="E147" s="1128">
        <v>0</v>
      </c>
      <c r="F147" s="1128">
        <v>0</v>
      </c>
      <c r="G147" s="1128">
        <v>0</v>
      </c>
      <c r="H147" s="1128">
        <v>0</v>
      </c>
      <c r="I147" s="1175">
        <v>0</v>
      </c>
      <c r="J147" s="1128">
        <v>0</v>
      </c>
      <c r="K147" s="1128">
        <v>0</v>
      </c>
      <c r="L147" s="1128">
        <v>0</v>
      </c>
      <c r="M147" s="1128">
        <v>0</v>
      </c>
      <c r="N147" s="1128">
        <v>0</v>
      </c>
      <c r="O147" s="165"/>
      <c r="P147" s="165"/>
    </row>
    <row r="148" spans="1:16" ht="19.5" customHeight="1">
      <c r="A148" s="2261"/>
      <c r="B148" s="2262"/>
      <c r="C148" s="1128">
        <v>2018</v>
      </c>
      <c r="D148" s="1128"/>
      <c r="E148" s="1128"/>
      <c r="F148" s="1128"/>
      <c r="G148" s="1128"/>
      <c r="H148" s="1128"/>
      <c r="I148" s="1175">
        <f t="shared" ref="I148:I150" si="13">D148+F148+G148+H148</f>
        <v>0</v>
      </c>
      <c r="J148" s="1128"/>
      <c r="K148" s="1128"/>
      <c r="L148" s="1128"/>
      <c r="M148" s="1128"/>
      <c r="N148" s="1128"/>
      <c r="O148" s="165"/>
      <c r="P148" s="165"/>
    </row>
    <row r="149" spans="1:16" ht="19.5" customHeight="1">
      <c r="A149" s="2261"/>
      <c r="B149" s="2262"/>
      <c r="C149" s="1128">
        <v>2019</v>
      </c>
      <c r="D149" s="1128"/>
      <c r="E149" s="1128"/>
      <c r="F149" s="1128"/>
      <c r="G149" s="1128"/>
      <c r="H149" s="1128"/>
      <c r="I149" s="1175">
        <f t="shared" si="13"/>
        <v>0</v>
      </c>
      <c r="J149" s="1128"/>
      <c r="K149" s="1128"/>
      <c r="L149" s="1128"/>
      <c r="M149" s="1128"/>
      <c r="N149" s="1128"/>
      <c r="O149" s="165"/>
      <c r="P149" s="165"/>
    </row>
    <row r="150" spans="1:16" ht="18.75" customHeight="1">
      <c r="A150" s="2261"/>
      <c r="B150" s="2262"/>
      <c r="C150" s="1128">
        <v>2020</v>
      </c>
      <c r="D150" s="1128"/>
      <c r="E150" s="1128"/>
      <c r="F150" s="1128"/>
      <c r="G150" s="1128"/>
      <c r="H150" s="1128"/>
      <c r="I150" s="1175">
        <f t="shared" si="13"/>
        <v>0</v>
      </c>
      <c r="J150" s="1128"/>
      <c r="K150" s="1128"/>
      <c r="L150" s="1128"/>
      <c r="M150" s="1128"/>
      <c r="N150" s="1128"/>
      <c r="O150" s="165"/>
      <c r="P150" s="165"/>
    </row>
    <row r="151" spans="1:16" ht="18" customHeight="1">
      <c r="A151" s="2263"/>
      <c r="B151" s="2264"/>
      <c r="C151" s="1173" t="s">
        <v>13</v>
      </c>
      <c r="D151" s="1175">
        <f>SUM(D144:D150)</f>
        <v>0</v>
      </c>
      <c r="E151" s="1175">
        <f t="shared" ref="E151:I151" si="14">SUM(E144:E150)</f>
        <v>0</v>
      </c>
      <c r="F151" s="1175">
        <f t="shared" si="14"/>
        <v>0</v>
      </c>
      <c r="G151" s="1175">
        <f t="shared" si="14"/>
        <v>0</v>
      </c>
      <c r="H151" s="1175">
        <f t="shared" si="14"/>
        <v>0</v>
      </c>
      <c r="I151" s="1175">
        <f t="shared" si="14"/>
        <v>0</v>
      </c>
      <c r="J151" s="1175">
        <f>SUM(J144:J150)</f>
        <v>0</v>
      </c>
      <c r="K151" s="1175">
        <f>SUM(K144:K150)</f>
        <v>0</v>
      </c>
      <c r="L151" s="1175">
        <f>SUM(L144:L150)</f>
        <v>0</v>
      </c>
      <c r="M151" s="1175">
        <f>SUM(M144:M150)</f>
        <v>0</v>
      </c>
      <c r="N151" s="1175">
        <f>SUM(N144:N150)</f>
        <v>0</v>
      </c>
      <c r="O151" s="165"/>
      <c r="P151" s="165"/>
    </row>
    <row r="152" spans="1:16" ht="27" customHeight="1">
      <c r="B152" s="224"/>
      <c r="O152" s="165"/>
      <c r="P152" s="165"/>
    </row>
    <row r="153" spans="1:16" ht="42.75" customHeight="1">
      <c r="A153" s="2265" t="s">
        <v>105</v>
      </c>
      <c r="B153" s="2266" t="s">
        <v>326</v>
      </c>
      <c r="C153" s="2258" t="s">
        <v>9</v>
      </c>
      <c r="D153" s="1208" t="s">
        <v>106</v>
      </c>
      <c r="E153" s="1208"/>
      <c r="F153" s="1208"/>
      <c r="G153" s="1208"/>
      <c r="H153" s="1208" t="s">
        <v>107</v>
      </c>
      <c r="I153" s="1208"/>
      <c r="J153" s="1208"/>
      <c r="K153" s="56"/>
      <c r="L153" s="56"/>
      <c r="M153" s="56"/>
      <c r="N153" s="56"/>
      <c r="O153" s="165"/>
      <c r="P153" s="165"/>
    </row>
    <row r="154" spans="1:16" ht="49.5" customHeight="1">
      <c r="A154" s="2265"/>
      <c r="B154" s="2266"/>
      <c r="C154" s="2258"/>
      <c r="D154" s="1211" t="s">
        <v>108</v>
      </c>
      <c r="E154" s="1211" t="s">
        <v>109</v>
      </c>
      <c r="F154" s="1211" t="s">
        <v>110</v>
      </c>
      <c r="G154" s="1209" t="s">
        <v>111</v>
      </c>
      <c r="H154" s="1211" t="s">
        <v>112</v>
      </c>
      <c r="I154" s="1211" t="s">
        <v>113</v>
      </c>
      <c r="J154" s="1211" t="s">
        <v>103</v>
      </c>
      <c r="K154" s="56"/>
      <c r="L154" s="56"/>
      <c r="M154" s="56"/>
      <c r="N154" s="56"/>
      <c r="O154" s="165"/>
      <c r="P154" s="165"/>
    </row>
    <row r="155" spans="1:16" ht="18.75" customHeight="1">
      <c r="A155" s="2259"/>
      <c r="B155" s="2260"/>
      <c r="C155" s="1126">
        <v>2014</v>
      </c>
      <c r="D155" s="1126"/>
      <c r="E155" s="1126"/>
      <c r="F155" s="1126"/>
      <c r="G155" s="1175">
        <f>SUM(D155:F155)</f>
        <v>0</v>
      </c>
      <c r="H155" s="1126"/>
      <c r="I155" s="1126"/>
      <c r="J155" s="1126"/>
      <c r="O155" s="165"/>
      <c r="P155" s="165"/>
    </row>
    <row r="156" spans="1:16" ht="19.5" customHeight="1">
      <c r="A156" s="2261"/>
      <c r="B156" s="2262"/>
      <c r="C156" s="1128">
        <v>2015</v>
      </c>
      <c r="D156" s="1128">
        <v>0</v>
      </c>
      <c r="E156" s="1128">
        <v>0</v>
      </c>
      <c r="F156" s="1128">
        <v>0</v>
      </c>
      <c r="G156" s="1175">
        <v>0</v>
      </c>
      <c r="H156" s="1128">
        <v>0</v>
      </c>
      <c r="I156" s="1128">
        <v>0</v>
      </c>
      <c r="J156" s="1128">
        <v>0</v>
      </c>
      <c r="O156" s="165"/>
      <c r="P156" s="165"/>
    </row>
    <row r="157" spans="1:16" ht="17.25" customHeight="1">
      <c r="A157" s="2261"/>
      <c r="B157" s="2262"/>
      <c r="C157" s="1128">
        <v>2016</v>
      </c>
      <c r="D157" s="1128">
        <v>0</v>
      </c>
      <c r="E157" s="1128">
        <v>0</v>
      </c>
      <c r="F157" s="1128">
        <v>0</v>
      </c>
      <c r="G157" s="1175">
        <f t="shared" ref="G157:G161" si="15">SUM(D157:F157)</f>
        <v>0</v>
      </c>
      <c r="H157" s="1128">
        <v>0</v>
      </c>
      <c r="I157" s="1128">
        <v>0</v>
      </c>
      <c r="J157" s="1128">
        <v>0</v>
      </c>
      <c r="O157" s="165"/>
      <c r="P157" s="165"/>
    </row>
    <row r="158" spans="1:16" ht="15" customHeight="1">
      <c r="A158" s="2261"/>
      <c r="B158" s="2262"/>
      <c r="C158" s="1128">
        <v>2017</v>
      </c>
      <c r="D158" s="1128">
        <v>0</v>
      </c>
      <c r="E158" s="1128">
        <v>0</v>
      </c>
      <c r="F158" s="1128">
        <v>0</v>
      </c>
      <c r="G158" s="1175">
        <v>0</v>
      </c>
      <c r="H158" s="1128">
        <v>0</v>
      </c>
      <c r="I158" s="1128">
        <v>0</v>
      </c>
      <c r="J158" s="1128">
        <v>0</v>
      </c>
      <c r="O158" s="165"/>
      <c r="P158" s="165"/>
    </row>
    <row r="159" spans="1:16" ht="19.5" customHeight="1">
      <c r="A159" s="2261"/>
      <c r="B159" s="2262"/>
      <c r="C159" s="1128">
        <v>2018</v>
      </c>
      <c r="D159" s="1128"/>
      <c r="E159" s="1128"/>
      <c r="F159" s="1128"/>
      <c r="G159" s="1175">
        <f t="shared" si="15"/>
        <v>0</v>
      </c>
      <c r="H159" s="1128"/>
      <c r="I159" s="1128"/>
      <c r="J159" s="1128"/>
      <c r="O159" s="165"/>
      <c r="P159" s="165"/>
    </row>
    <row r="160" spans="1:16" ht="15" customHeight="1">
      <c r="A160" s="2261"/>
      <c r="B160" s="2262"/>
      <c r="C160" s="1128">
        <v>2019</v>
      </c>
      <c r="D160" s="1128"/>
      <c r="E160" s="1128"/>
      <c r="F160" s="1128"/>
      <c r="G160" s="1175">
        <f t="shared" si="15"/>
        <v>0</v>
      </c>
      <c r="H160" s="1128"/>
      <c r="I160" s="1128"/>
      <c r="J160" s="1128"/>
      <c r="O160" s="165"/>
      <c r="P160" s="165"/>
    </row>
    <row r="161" spans="1:18" ht="17.25" customHeight="1">
      <c r="A161" s="2261"/>
      <c r="B161" s="2262"/>
      <c r="C161" s="1128">
        <v>2020</v>
      </c>
      <c r="D161" s="1128"/>
      <c r="E161" s="1128"/>
      <c r="F161" s="1128"/>
      <c r="G161" s="1175">
        <f t="shared" si="15"/>
        <v>0</v>
      </c>
      <c r="H161" s="1128"/>
      <c r="I161" s="1128"/>
      <c r="J161" s="1128"/>
      <c r="O161" s="165"/>
      <c r="P161" s="165"/>
    </row>
    <row r="162" spans="1:18">
      <c r="A162" s="2263"/>
      <c r="B162" s="2264"/>
      <c r="C162" s="1173" t="s">
        <v>13</v>
      </c>
      <c r="D162" s="1175">
        <f t="shared" ref="D162:G162" si="16">SUM(D155:D161)</f>
        <v>0</v>
      </c>
      <c r="E162" s="1175">
        <f t="shared" si="16"/>
        <v>0</v>
      </c>
      <c r="F162" s="1175">
        <f t="shared" si="16"/>
        <v>0</v>
      </c>
      <c r="G162" s="1175">
        <f t="shared" si="16"/>
        <v>0</v>
      </c>
      <c r="H162" s="1175">
        <f>SUM(H155:H161)</f>
        <v>0</v>
      </c>
      <c r="I162" s="1175">
        <f>SUM(I155:I161)</f>
        <v>0</v>
      </c>
      <c r="J162" s="1207">
        <f>SUM(J155:J161)</f>
        <v>0</v>
      </c>
    </row>
    <row r="163" spans="1:18" ht="24.75" customHeight="1">
      <c r="A163" s="237"/>
      <c r="B163" s="238"/>
      <c r="C163" s="239"/>
      <c r="D163" s="165"/>
      <c r="E163" s="165"/>
      <c r="F163" s="165"/>
      <c r="G163" s="165"/>
      <c r="H163" s="165"/>
      <c r="I163" s="165"/>
      <c r="J163" s="241"/>
      <c r="K163" s="7"/>
    </row>
    <row r="164" spans="1:18" ht="95.25" customHeight="1">
      <c r="A164" s="1213" t="s">
        <v>115</v>
      </c>
      <c r="B164" s="1214" t="s">
        <v>333</v>
      </c>
      <c r="C164" s="1215" t="s">
        <v>9</v>
      </c>
      <c r="D164" s="1216" t="s">
        <v>117</v>
      </c>
      <c r="E164" s="1216" t="s">
        <v>118</v>
      </c>
      <c r="F164" s="1216" t="s">
        <v>119</v>
      </c>
      <c r="G164" s="1216" t="s">
        <v>120</v>
      </c>
      <c r="H164" s="1216" t="s">
        <v>121</v>
      </c>
      <c r="I164" s="1216" t="s">
        <v>122</v>
      </c>
      <c r="J164" s="1217" t="s">
        <v>123</v>
      </c>
      <c r="K164" s="1217" t="s">
        <v>124</v>
      </c>
      <c r="L164" s="7"/>
    </row>
    <row r="165" spans="1:18" ht="15.75" customHeight="1">
      <c r="A165" s="2267"/>
      <c r="B165" s="2268"/>
      <c r="C165" s="1218">
        <v>2014</v>
      </c>
      <c r="D165" s="1219"/>
      <c r="E165" s="1219"/>
      <c r="F165" s="1219"/>
      <c r="G165" s="1219"/>
      <c r="H165" s="1219"/>
      <c r="I165" s="1219"/>
      <c r="J165" s="1220">
        <f>SUM(D165,F165,H165)</f>
        <v>0</v>
      </c>
      <c r="K165" s="1219">
        <f>SUM(E165,G165,I165)</f>
        <v>0</v>
      </c>
      <c r="L165" s="7"/>
    </row>
    <row r="166" spans="1:18">
      <c r="A166" s="2269"/>
      <c r="B166" s="2270"/>
      <c r="C166" s="1221">
        <v>2015</v>
      </c>
      <c r="D166" s="1222">
        <v>0</v>
      </c>
      <c r="E166" s="1222">
        <v>0</v>
      </c>
      <c r="F166" s="1222">
        <v>0</v>
      </c>
      <c r="G166" s="1222">
        <v>0</v>
      </c>
      <c r="H166" s="1222">
        <v>0</v>
      </c>
      <c r="I166" s="1222">
        <v>0</v>
      </c>
      <c r="J166" s="1223">
        <f t="shared" ref="J166:K171" si="17">SUM(D166,F166,H166)</f>
        <v>0</v>
      </c>
      <c r="K166" s="1224">
        <f t="shared" si="17"/>
        <v>0</v>
      </c>
      <c r="L166" s="7"/>
    </row>
    <row r="167" spans="1:18">
      <c r="A167" s="2269"/>
      <c r="B167" s="2270"/>
      <c r="C167" s="1221">
        <v>2016</v>
      </c>
      <c r="D167" s="1222">
        <v>0</v>
      </c>
      <c r="E167" s="1222">
        <v>0</v>
      </c>
      <c r="F167" s="1222">
        <v>0</v>
      </c>
      <c r="G167" s="1222">
        <v>0</v>
      </c>
      <c r="H167" s="1222">
        <v>0</v>
      </c>
      <c r="I167" s="1222">
        <v>0</v>
      </c>
      <c r="J167" s="1223">
        <f t="shared" si="17"/>
        <v>0</v>
      </c>
      <c r="K167" s="1224">
        <f t="shared" si="17"/>
        <v>0</v>
      </c>
    </row>
    <row r="168" spans="1:18">
      <c r="A168" s="2269"/>
      <c r="B168" s="2270"/>
      <c r="C168" s="1221">
        <v>2017</v>
      </c>
      <c r="D168" s="1222">
        <v>0</v>
      </c>
      <c r="E168" s="1222">
        <v>0</v>
      </c>
      <c r="F168" s="1222">
        <v>0</v>
      </c>
      <c r="G168" s="1222">
        <v>0</v>
      </c>
      <c r="H168" s="1222">
        <v>0</v>
      </c>
      <c r="I168" s="1222">
        <v>0</v>
      </c>
      <c r="J168" s="1223">
        <v>0</v>
      </c>
      <c r="K168" s="1224">
        <v>0</v>
      </c>
    </row>
    <row r="169" spans="1:18">
      <c r="A169" s="2269"/>
      <c r="B169" s="2270"/>
      <c r="C169" s="1221">
        <v>2018</v>
      </c>
      <c r="D169" s="1222"/>
      <c r="E169" s="1222"/>
      <c r="F169" s="1222"/>
      <c r="G169" s="1222"/>
      <c r="H169" s="1222"/>
      <c r="I169" s="1222"/>
      <c r="J169" s="1223">
        <f t="shared" si="17"/>
        <v>0</v>
      </c>
      <c r="K169" s="1224">
        <f t="shared" si="17"/>
        <v>0</v>
      </c>
      <c r="L169" s="7"/>
    </row>
    <row r="170" spans="1:18">
      <c r="A170" s="2269"/>
      <c r="B170" s="2270"/>
      <c r="C170" s="1221">
        <v>2019</v>
      </c>
      <c r="D170" s="1222"/>
      <c r="E170" s="1222"/>
      <c r="F170" s="1222"/>
      <c r="G170" s="1222"/>
      <c r="H170" s="1222"/>
      <c r="I170" s="1222"/>
      <c r="J170" s="1223">
        <f t="shared" si="17"/>
        <v>0</v>
      </c>
      <c r="K170" s="1224">
        <f t="shared" si="17"/>
        <v>0</v>
      </c>
      <c r="L170" s="7"/>
    </row>
    <row r="171" spans="1:18">
      <c r="A171" s="2269"/>
      <c r="B171" s="2270"/>
      <c r="C171" s="1221">
        <v>2020</v>
      </c>
      <c r="D171" s="1222"/>
      <c r="E171" s="1222"/>
      <c r="F171" s="1222"/>
      <c r="G171" s="1222"/>
      <c r="H171" s="1222"/>
      <c r="I171" s="1222"/>
      <c r="J171" s="1223">
        <f t="shared" si="17"/>
        <v>0</v>
      </c>
      <c r="K171" s="1224">
        <f t="shared" si="17"/>
        <v>0</v>
      </c>
      <c r="L171" s="7"/>
    </row>
    <row r="172" spans="1:18" ht="18.75" customHeight="1">
      <c r="A172" s="2271"/>
      <c r="B172" s="2272"/>
      <c r="C172" s="1225" t="s">
        <v>13</v>
      </c>
      <c r="D172" s="1224">
        <f>SUM(D165:D171)</f>
        <v>0</v>
      </c>
      <c r="E172" s="1224">
        <f t="shared" ref="E172:K172" si="18">SUM(E165:E171)</f>
        <v>0</v>
      </c>
      <c r="F172" s="1224">
        <f t="shared" si="18"/>
        <v>0</v>
      </c>
      <c r="G172" s="1224">
        <f t="shared" si="18"/>
        <v>0</v>
      </c>
      <c r="H172" s="1224">
        <f t="shared" si="18"/>
        <v>0</v>
      </c>
      <c r="I172" s="1224">
        <f t="shared" si="18"/>
        <v>0</v>
      </c>
      <c r="J172" s="1224">
        <f t="shared" si="18"/>
        <v>0</v>
      </c>
      <c r="K172" s="1224">
        <f t="shared" si="18"/>
        <v>0</v>
      </c>
      <c r="L172" s="7"/>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
      <c r="A175" s="272"/>
      <c r="B175" s="272"/>
    </row>
    <row r="176" spans="1:18" s="56" customFormat="1" ht="22.5" customHeight="1">
      <c r="A176" s="2273" t="s">
        <v>127</v>
      </c>
      <c r="B176" s="2249" t="s">
        <v>334</v>
      </c>
      <c r="C176" s="2251" t="s">
        <v>9</v>
      </c>
      <c r="D176" s="1226" t="s">
        <v>128</v>
      </c>
      <c r="E176" s="1226"/>
      <c r="F176" s="1226"/>
      <c r="G176" s="1226"/>
      <c r="H176" s="1227"/>
      <c r="I176" s="2251" t="s">
        <v>129</v>
      </c>
      <c r="J176" s="2251"/>
      <c r="K176" s="2251"/>
      <c r="L176" s="2251"/>
      <c r="M176" s="2251"/>
      <c r="N176" s="2251"/>
      <c r="O176" s="2251"/>
    </row>
    <row r="177" spans="1:15" s="56" customFormat="1" ht="129.75" customHeight="1">
      <c r="A177" s="2273"/>
      <c r="B177" s="2249"/>
      <c r="C177" s="2251"/>
      <c r="D177" s="1227" t="s">
        <v>130</v>
      </c>
      <c r="E177" s="1227" t="s">
        <v>131</v>
      </c>
      <c r="F177" s="1227" t="s">
        <v>132</v>
      </c>
      <c r="G177" s="1228" t="s">
        <v>133</v>
      </c>
      <c r="H177" s="1229" t="s">
        <v>134</v>
      </c>
      <c r="I177" s="1230" t="s">
        <v>59</v>
      </c>
      <c r="J177" s="1230" t="s">
        <v>60</v>
      </c>
      <c r="K177" s="1230" t="s">
        <v>61</v>
      </c>
      <c r="L177" s="1230" t="s">
        <v>62</v>
      </c>
      <c r="M177" s="1230" t="s">
        <v>63</v>
      </c>
      <c r="N177" s="1230" t="s">
        <v>64</v>
      </c>
      <c r="O177" s="1230" t="s">
        <v>65</v>
      </c>
    </row>
    <row r="178" spans="1:15" ht="25.5" customHeight="1">
      <c r="A178" s="2252" t="s">
        <v>335</v>
      </c>
      <c r="B178" s="2253"/>
      <c r="C178" s="1126">
        <v>2014</v>
      </c>
      <c r="D178" s="1126"/>
      <c r="E178" s="1126"/>
      <c r="F178" s="1126"/>
      <c r="G178" s="1175">
        <f>SUM(D178:F178)</f>
        <v>0</v>
      </c>
      <c r="H178" s="1126"/>
      <c r="I178" s="1126"/>
      <c r="J178" s="1126"/>
      <c r="K178" s="1126"/>
      <c r="L178" s="1126"/>
      <c r="M178" s="1126"/>
      <c r="N178" s="1126"/>
      <c r="O178" s="1126"/>
    </row>
    <row r="179" spans="1:15" ht="22.5" customHeight="1">
      <c r="A179" s="2254"/>
      <c r="B179" s="2255"/>
      <c r="C179" s="1128">
        <v>2015</v>
      </c>
      <c r="D179" s="1129">
        <v>1</v>
      </c>
      <c r="E179" s="1128">
        <v>0</v>
      </c>
      <c r="F179" s="1128">
        <v>0</v>
      </c>
      <c r="G179" s="1175">
        <f t="shared" ref="G179:G184" si="19">SUM(D179:F179)</f>
        <v>1</v>
      </c>
      <c r="H179" s="1129">
        <v>2</v>
      </c>
      <c r="I179" s="1128">
        <v>0</v>
      </c>
      <c r="J179" s="1128">
        <v>0</v>
      </c>
      <c r="K179" s="1128">
        <v>0</v>
      </c>
      <c r="L179" s="1128">
        <v>0</v>
      </c>
      <c r="M179" s="1128">
        <v>0</v>
      </c>
      <c r="N179" s="1128">
        <v>0</v>
      </c>
      <c r="O179" s="1129">
        <v>1</v>
      </c>
    </row>
    <row r="180" spans="1:15" ht="30" customHeight="1">
      <c r="A180" s="2254"/>
      <c r="B180" s="2255"/>
      <c r="C180" s="1128">
        <v>2016</v>
      </c>
      <c r="D180" s="1128">
        <f>24+4</f>
        <v>28</v>
      </c>
      <c r="E180" s="1128">
        <v>1</v>
      </c>
      <c r="F180" s="1128">
        <v>1</v>
      </c>
      <c r="G180" s="1175">
        <f t="shared" si="19"/>
        <v>30</v>
      </c>
      <c r="H180" s="1135">
        <f>69+5</f>
        <v>74</v>
      </c>
      <c r="I180" s="1128">
        <v>0</v>
      </c>
      <c r="J180" s="1128">
        <v>9</v>
      </c>
      <c r="K180" s="1128">
        <v>0</v>
      </c>
      <c r="L180" s="1128">
        <v>7</v>
      </c>
      <c r="M180" s="1128">
        <f>1+2</f>
        <v>3</v>
      </c>
      <c r="N180" s="1128">
        <v>0</v>
      </c>
      <c r="O180" s="1128">
        <f>9+2</f>
        <v>11</v>
      </c>
    </row>
    <row r="181" spans="1:15" ht="41.25" customHeight="1">
      <c r="A181" s="2254"/>
      <c r="B181" s="2255"/>
      <c r="C181" s="1128">
        <v>2017</v>
      </c>
      <c r="D181" s="1128">
        <v>22</v>
      </c>
      <c r="E181" s="1128">
        <v>1</v>
      </c>
      <c r="F181" s="1128">
        <v>0</v>
      </c>
      <c r="G181" s="1175">
        <f t="shared" si="19"/>
        <v>23</v>
      </c>
      <c r="H181" s="1135">
        <v>88</v>
      </c>
      <c r="I181" s="1128">
        <f>6+1+3</f>
        <v>10</v>
      </c>
      <c r="J181" s="1128">
        <v>0</v>
      </c>
      <c r="K181" s="1128">
        <v>0</v>
      </c>
      <c r="L181" s="1128">
        <f>1+4+1+1</f>
        <v>7</v>
      </c>
      <c r="M181" s="1128">
        <f>1+1+3+1</f>
        <v>6</v>
      </c>
      <c r="N181" s="1128">
        <v>0</v>
      </c>
      <c r="O181" s="1128">
        <v>0</v>
      </c>
    </row>
    <row r="182" spans="1:15">
      <c r="A182" s="2254"/>
      <c r="B182" s="2255"/>
      <c r="C182" s="1128">
        <v>2018</v>
      </c>
      <c r="D182" s="1128"/>
      <c r="E182" s="1128"/>
      <c r="F182" s="1128"/>
      <c r="G182" s="1175">
        <f t="shared" si="19"/>
        <v>0</v>
      </c>
      <c r="H182" s="1135"/>
      <c r="I182" s="1128"/>
      <c r="J182" s="1128"/>
      <c r="K182" s="1128"/>
      <c r="L182" s="1128"/>
      <c r="M182" s="1128"/>
      <c r="N182" s="1128"/>
      <c r="O182" s="1128"/>
    </row>
    <row r="183" spans="1:15">
      <c r="A183" s="2254"/>
      <c r="B183" s="2255"/>
      <c r="C183" s="1128">
        <v>2019</v>
      </c>
      <c r="D183" s="1128"/>
      <c r="E183" s="1128"/>
      <c r="F183" s="1128"/>
      <c r="G183" s="1175">
        <f t="shared" si="19"/>
        <v>0</v>
      </c>
      <c r="H183" s="1135"/>
      <c r="I183" s="1128"/>
      <c r="J183" s="1128"/>
      <c r="K183" s="1128"/>
      <c r="L183" s="1128"/>
      <c r="M183" s="1128"/>
      <c r="N183" s="1128"/>
      <c r="O183" s="1128"/>
    </row>
    <row r="184" spans="1:15" ht="24.75" customHeight="1">
      <c r="A184" s="2254"/>
      <c r="B184" s="2255"/>
      <c r="C184" s="1128">
        <v>2020</v>
      </c>
      <c r="D184" s="1128"/>
      <c r="E184" s="1128"/>
      <c r="F184" s="1128"/>
      <c r="G184" s="1175">
        <f t="shared" si="19"/>
        <v>0</v>
      </c>
      <c r="H184" s="1135"/>
      <c r="I184" s="1128"/>
      <c r="J184" s="1128"/>
      <c r="K184" s="1128"/>
      <c r="L184" s="1128"/>
      <c r="M184" s="1128"/>
      <c r="N184" s="1128"/>
      <c r="O184" s="1128"/>
    </row>
    <row r="185" spans="1:15" ht="79.5" customHeight="1">
      <c r="A185" s="2256"/>
      <c r="B185" s="2257"/>
      <c r="C185" s="1173" t="s">
        <v>13</v>
      </c>
      <c r="D185" s="1175">
        <f>SUM(D178:D184)</f>
        <v>51</v>
      </c>
      <c r="E185" s="1175">
        <f>SUM(E178:E184)</f>
        <v>2</v>
      </c>
      <c r="F185" s="1175">
        <f>SUM(F178:F184)</f>
        <v>1</v>
      </c>
      <c r="G185" s="1175">
        <f t="shared" ref="G185:O185" si="20">SUM(G178:G184)</f>
        <v>54</v>
      </c>
      <c r="H185" s="1175">
        <f t="shared" si="20"/>
        <v>164</v>
      </c>
      <c r="I185" s="1175">
        <f t="shared" si="20"/>
        <v>10</v>
      </c>
      <c r="J185" s="1175">
        <f t="shared" si="20"/>
        <v>9</v>
      </c>
      <c r="K185" s="1175">
        <f t="shared" si="20"/>
        <v>0</v>
      </c>
      <c r="L185" s="1175">
        <f t="shared" si="20"/>
        <v>14</v>
      </c>
      <c r="M185" s="1175">
        <f t="shared" si="20"/>
        <v>9</v>
      </c>
      <c r="N185" s="1175">
        <f t="shared" si="20"/>
        <v>0</v>
      </c>
      <c r="O185" s="1175">
        <f t="shared" si="20"/>
        <v>12</v>
      </c>
    </row>
    <row r="186" spans="1:15" ht="33" customHeight="1"/>
    <row r="187" spans="1:15" ht="19.5" customHeight="1">
      <c r="A187" s="2248" t="s">
        <v>137</v>
      </c>
      <c r="B187" s="2249" t="s">
        <v>334</v>
      </c>
      <c r="C187" s="2250" t="s">
        <v>9</v>
      </c>
      <c r="D187" s="2250" t="s">
        <v>138</v>
      </c>
      <c r="E187" s="2250"/>
      <c r="F187" s="2250"/>
      <c r="G187" s="2250"/>
      <c r="H187" s="2250" t="s">
        <v>139</v>
      </c>
      <c r="I187" s="2250"/>
      <c r="J187" s="2250"/>
      <c r="K187" s="2250"/>
      <c r="L187" s="2250"/>
    </row>
    <row r="188" spans="1:15" ht="90">
      <c r="A188" s="2248"/>
      <c r="B188" s="2249"/>
      <c r="C188" s="2250"/>
      <c r="D188" s="1230" t="s">
        <v>140</v>
      </c>
      <c r="E188" s="1230" t="s">
        <v>141</v>
      </c>
      <c r="F188" s="1230" t="s">
        <v>142</v>
      </c>
      <c r="G188" s="1229" t="s">
        <v>13</v>
      </c>
      <c r="H188" s="1230" t="s">
        <v>143</v>
      </c>
      <c r="I188" s="1230" t="s">
        <v>144</v>
      </c>
      <c r="J188" s="1230" t="s">
        <v>145</v>
      </c>
      <c r="K188" s="1230" t="s">
        <v>146</v>
      </c>
      <c r="L188" s="1230" t="s">
        <v>147</v>
      </c>
    </row>
    <row r="189" spans="1:15" ht="15" customHeight="1">
      <c r="A189" s="1231" t="s">
        <v>336</v>
      </c>
      <c r="B189" s="1232"/>
      <c r="C189" s="1155">
        <v>2014</v>
      </c>
      <c r="D189" s="1126"/>
      <c r="E189" s="1126"/>
      <c r="F189" s="1126"/>
      <c r="G189" s="1175">
        <f>SUM(D189:F189)</f>
        <v>0</v>
      </c>
      <c r="H189" s="1126"/>
      <c r="I189" s="1126"/>
      <c r="J189" s="1126"/>
      <c r="K189" s="1126"/>
      <c r="L189" s="1126"/>
    </row>
    <row r="190" spans="1:15">
      <c r="A190" s="1233" t="s">
        <v>337</v>
      </c>
      <c r="B190" s="1232"/>
      <c r="C190" s="1156">
        <v>2015</v>
      </c>
      <c r="D190" s="1129">
        <v>4</v>
      </c>
      <c r="E190" s="1128">
        <v>0</v>
      </c>
      <c r="F190" s="1128">
        <v>0</v>
      </c>
      <c r="G190" s="1175">
        <f t="shared" ref="G190:G195" si="21">SUM(D190:F190)</f>
        <v>4</v>
      </c>
      <c r="H190" s="1128">
        <v>0</v>
      </c>
      <c r="I190" s="1128">
        <v>0</v>
      </c>
      <c r="J190" s="1128">
        <v>0</v>
      </c>
      <c r="K190" s="1128">
        <v>0</v>
      </c>
      <c r="L190" s="1129">
        <v>4</v>
      </c>
    </row>
    <row r="191" spans="1:15" ht="60.75" customHeight="1">
      <c r="A191" s="1233" t="s">
        <v>338</v>
      </c>
      <c r="B191" s="1232"/>
      <c r="C191" s="1156">
        <v>2016</v>
      </c>
      <c r="D191" s="1128">
        <f>1159+357</f>
        <v>1516</v>
      </c>
      <c r="E191" s="1128">
        <v>30</v>
      </c>
      <c r="F191" s="1128">
        <v>40</v>
      </c>
      <c r="G191" s="1175">
        <f t="shared" si="21"/>
        <v>1586</v>
      </c>
      <c r="H191" s="1128">
        <v>0</v>
      </c>
      <c r="I191" s="1128">
        <f>49+40</f>
        <v>89</v>
      </c>
      <c r="J191" s="1128">
        <v>0</v>
      </c>
      <c r="K191" s="1128">
        <v>0</v>
      </c>
      <c r="L191" s="1128">
        <f>80+18+60+4+146+89+40+125+30+360+60+145+90+250</f>
        <v>1497</v>
      </c>
    </row>
    <row r="192" spans="1:15">
      <c r="A192" s="1231"/>
      <c r="B192" s="1232"/>
      <c r="C192" s="1156">
        <v>2017</v>
      </c>
      <c r="D192" s="1128">
        <v>1858</v>
      </c>
      <c r="E192" s="1128">
        <v>40</v>
      </c>
      <c r="F192" s="1128">
        <v>0</v>
      </c>
      <c r="G192" s="1175">
        <f t="shared" si="21"/>
        <v>1898</v>
      </c>
      <c r="H192" s="1128">
        <v>0</v>
      </c>
      <c r="I192" s="1128">
        <f>60+2+35+35+22+40</f>
        <v>194</v>
      </c>
      <c r="J192" s="1128">
        <f>28+2</f>
        <v>30</v>
      </c>
      <c r="K192" s="1128">
        <v>0</v>
      </c>
      <c r="L192" s="1128">
        <f>102+120+237+30+236+779+146+24</f>
        <v>1674</v>
      </c>
    </row>
    <row r="193" spans="1:14">
      <c r="A193" s="1231" t="s">
        <v>339</v>
      </c>
      <c r="B193" s="1232"/>
      <c r="C193" s="1156">
        <v>2018</v>
      </c>
      <c r="D193" s="1128"/>
      <c r="E193" s="1128"/>
      <c r="F193" s="1128"/>
      <c r="G193" s="1175">
        <f t="shared" si="21"/>
        <v>0</v>
      </c>
      <c r="H193" s="1128"/>
      <c r="I193" s="1128"/>
      <c r="J193" s="1128"/>
      <c r="K193" s="1128"/>
      <c r="L193" s="1128"/>
    </row>
    <row r="194" spans="1:14">
      <c r="A194" s="1233" t="s">
        <v>340</v>
      </c>
      <c r="B194" s="1232"/>
      <c r="C194" s="1156">
        <v>2019</v>
      </c>
      <c r="D194" s="1128"/>
      <c r="E194" s="1128"/>
      <c r="F194" s="1128"/>
      <c r="G194" s="1175">
        <f t="shared" si="21"/>
        <v>0</v>
      </c>
      <c r="H194" s="1128"/>
      <c r="I194" s="1128"/>
      <c r="J194" s="1128"/>
      <c r="K194" s="1128"/>
      <c r="L194" s="1128"/>
    </row>
    <row r="195" spans="1:14" ht="55.5" customHeight="1">
      <c r="A195" s="1233" t="s">
        <v>341</v>
      </c>
      <c r="B195" s="1232"/>
      <c r="C195" s="1156">
        <v>2020</v>
      </c>
      <c r="D195" s="1128"/>
      <c r="E195" s="1128"/>
      <c r="F195" s="1128"/>
      <c r="G195" s="1175">
        <f t="shared" si="21"/>
        <v>0</v>
      </c>
      <c r="H195" s="1128"/>
      <c r="I195" s="1128"/>
      <c r="J195" s="1128"/>
      <c r="K195" s="1128"/>
      <c r="L195" s="1128"/>
    </row>
    <row r="196" spans="1:14" ht="15.75" thickBot="1">
      <c r="A196" s="1234"/>
      <c r="B196" s="1235"/>
      <c r="C196" s="1179" t="s">
        <v>13</v>
      </c>
      <c r="D196" s="1175">
        <f t="shared" ref="D196:L196" si="22">SUM(D189:D195)</f>
        <v>3378</v>
      </c>
      <c r="E196" s="1175">
        <f t="shared" si="22"/>
        <v>70</v>
      </c>
      <c r="F196" s="1175">
        <f t="shared" si="22"/>
        <v>40</v>
      </c>
      <c r="G196" s="1175">
        <f t="shared" si="22"/>
        <v>3488</v>
      </c>
      <c r="H196" s="1175">
        <f t="shared" si="22"/>
        <v>0</v>
      </c>
      <c r="I196" s="1175">
        <f t="shared" si="22"/>
        <v>283</v>
      </c>
      <c r="J196" s="1175">
        <f t="shared" si="22"/>
        <v>30</v>
      </c>
      <c r="K196" s="1175">
        <f t="shared" si="22"/>
        <v>0</v>
      </c>
      <c r="L196" s="1175">
        <f t="shared" si="22"/>
        <v>3175</v>
      </c>
    </row>
    <row r="198" spans="1:14">
      <c r="A198" s="7"/>
      <c r="B198" s="7"/>
      <c r="C198" s="7"/>
      <c r="D198" s="7"/>
      <c r="E198" s="7"/>
      <c r="F198" s="7"/>
      <c r="G198" s="7"/>
      <c r="H198" s="7"/>
      <c r="I198" s="7"/>
      <c r="J198" s="7"/>
      <c r="K198" s="7"/>
      <c r="L198" s="7"/>
    </row>
    <row r="199" spans="1:14" ht="21">
      <c r="A199" s="483" t="s">
        <v>149</v>
      </c>
      <c r="B199" s="483"/>
      <c r="C199" s="1236"/>
      <c r="D199" s="1236"/>
      <c r="E199" s="1236"/>
      <c r="F199" s="1236"/>
      <c r="G199" s="1236"/>
      <c r="H199" s="1236"/>
      <c r="I199" s="1236"/>
      <c r="J199" s="1236"/>
      <c r="K199" s="1236"/>
      <c r="L199" s="1236"/>
      <c r="M199" s="65"/>
      <c r="N199" s="65"/>
    </row>
    <row r="200" spans="1:14" s="160" customFormat="1" ht="22.5" customHeight="1">
      <c r="A200" s="1237"/>
      <c r="B200" s="1237"/>
      <c r="L200" s="78"/>
      <c r="M200" s="78"/>
    </row>
    <row r="201" spans="1:14" s="56" customFormat="1" ht="101.25" customHeight="1">
      <c r="A201" s="1238" t="s">
        <v>150</v>
      </c>
      <c r="B201" s="1239" t="s">
        <v>182</v>
      </c>
      <c r="C201" s="1240" t="s">
        <v>9</v>
      </c>
      <c r="D201" s="1240" t="s">
        <v>151</v>
      </c>
      <c r="E201" s="1240" t="s">
        <v>152</v>
      </c>
      <c r="F201" s="1240" t="s">
        <v>153</v>
      </c>
      <c r="G201" s="1240" t="s">
        <v>154</v>
      </c>
      <c r="H201" s="1240" t="s">
        <v>155</v>
      </c>
      <c r="I201" s="1240" t="s">
        <v>156</v>
      </c>
      <c r="J201" s="1240" t="s">
        <v>157</v>
      </c>
      <c r="K201" s="1240" t="s">
        <v>158</v>
      </c>
      <c r="L201" s="1240" t="s">
        <v>159</v>
      </c>
    </row>
    <row r="202" spans="1:14" ht="15" customHeight="1">
      <c r="A202" s="2242"/>
      <c r="B202" s="2243"/>
      <c r="C202" s="1185">
        <v>2014</v>
      </c>
      <c r="D202" s="1186"/>
      <c r="E202" s="1186"/>
      <c r="F202" s="1186"/>
      <c r="G202" s="1186"/>
      <c r="H202" s="1186"/>
      <c r="I202" s="1186"/>
      <c r="J202" s="1186"/>
      <c r="K202" s="1186"/>
      <c r="L202" s="1186"/>
    </row>
    <row r="203" spans="1:14">
      <c r="A203" s="2244"/>
      <c r="B203" s="2245"/>
      <c r="C203" s="1187">
        <v>2015</v>
      </c>
      <c r="D203" s="1188">
        <v>0</v>
      </c>
      <c r="E203" s="1188">
        <v>0</v>
      </c>
      <c r="F203" s="1188">
        <v>0</v>
      </c>
      <c r="G203" s="1188">
        <v>0</v>
      </c>
      <c r="H203" s="1188">
        <v>0</v>
      </c>
      <c r="I203" s="1188">
        <v>0</v>
      </c>
      <c r="J203" s="1188">
        <v>0</v>
      </c>
      <c r="K203" s="1188">
        <v>0</v>
      </c>
      <c r="L203" s="1188">
        <v>0</v>
      </c>
    </row>
    <row r="204" spans="1:14">
      <c r="A204" s="2244"/>
      <c r="B204" s="2245"/>
      <c r="C204" s="1187">
        <v>2016</v>
      </c>
      <c r="D204" s="1188">
        <v>0</v>
      </c>
      <c r="E204" s="1188">
        <v>0</v>
      </c>
      <c r="F204" s="1188">
        <v>0</v>
      </c>
      <c r="G204" s="1188">
        <v>0</v>
      </c>
      <c r="H204" s="1188">
        <v>0</v>
      </c>
      <c r="I204" s="1188">
        <v>0</v>
      </c>
      <c r="J204" s="1188">
        <v>0</v>
      </c>
      <c r="K204" s="1188">
        <v>0</v>
      </c>
      <c r="L204" s="1188">
        <v>0</v>
      </c>
    </row>
    <row r="205" spans="1:14">
      <c r="A205" s="2244"/>
      <c r="B205" s="2245"/>
      <c r="C205" s="1187">
        <v>2017</v>
      </c>
      <c r="D205" s="1189">
        <v>0</v>
      </c>
      <c r="E205" s="1189">
        <v>0</v>
      </c>
      <c r="F205" s="1189">
        <v>0</v>
      </c>
      <c r="G205" s="1189">
        <v>0</v>
      </c>
      <c r="H205" s="1189">
        <v>0</v>
      </c>
      <c r="I205" s="1189">
        <v>0</v>
      </c>
      <c r="J205" s="1189">
        <v>0</v>
      </c>
      <c r="K205" s="1189">
        <v>0</v>
      </c>
      <c r="L205" s="1189">
        <v>0</v>
      </c>
    </row>
    <row r="206" spans="1:14">
      <c r="A206" s="2244"/>
      <c r="B206" s="2245"/>
      <c r="C206" s="1187">
        <v>2018</v>
      </c>
      <c r="D206" s="1188"/>
      <c r="E206" s="1188"/>
      <c r="F206" s="1188"/>
      <c r="G206" s="1188"/>
      <c r="H206" s="1188"/>
      <c r="I206" s="1188"/>
      <c r="J206" s="1188"/>
      <c r="K206" s="1188"/>
      <c r="L206" s="1188"/>
    </row>
    <row r="207" spans="1:14">
      <c r="A207" s="2244"/>
      <c r="B207" s="2245"/>
      <c r="C207" s="1187">
        <v>2019</v>
      </c>
      <c r="D207" s="1188"/>
      <c r="E207" s="1188"/>
      <c r="F207" s="1188"/>
      <c r="G207" s="1188"/>
      <c r="H207" s="1188"/>
      <c r="I207" s="1188"/>
      <c r="J207" s="1188"/>
      <c r="K207" s="1188"/>
      <c r="L207" s="1188"/>
    </row>
    <row r="208" spans="1:14">
      <c r="A208" s="2244"/>
      <c r="B208" s="2245"/>
      <c r="C208" s="1187">
        <v>2020</v>
      </c>
      <c r="D208" s="1188"/>
      <c r="E208" s="1188"/>
      <c r="F208" s="1188"/>
      <c r="G208" s="1188"/>
      <c r="H208" s="1188"/>
      <c r="I208" s="1188"/>
      <c r="J208" s="1188"/>
      <c r="K208" s="1188"/>
      <c r="L208" s="1188"/>
    </row>
    <row r="209" spans="1:12" ht="20.25" customHeight="1">
      <c r="A209" s="2246"/>
      <c r="B209" s="2247"/>
      <c r="C209" s="1191" t="s">
        <v>13</v>
      </c>
      <c r="D209" s="1193">
        <f>SUM(D202:D208)</f>
        <v>0</v>
      </c>
      <c r="E209" s="1193">
        <f t="shared" ref="E209:L209" si="23">SUM(E202:E208)</f>
        <v>0</v>
      </c>
      <c r="F209" s="1193">
        <f t="shared" si="23"/>
        <v>0</v>
      </c>
      <c r="G209" s="1193">
        <f t="shared" si="23"/>
        <v>0</v>
      </c>
      <c r="H209" s="1193">
        <f t="shared" si="23"/>
        <v>0</v>
      </c>
      <c r="I209" s="1193">
        <f t="shared" si="23"/>
        <v>0</v>
      </c>
      <c r="J209" s="1193">
        <f t="shared" si="23"/>
        <v>0</v>
      </c>
      <c r="K209" s="1193">
        <f t="shared" si="23"/>
        <v>0</v>
      </c>
      <c r="L209" s="1193">
        <f t="shared" si="23"/>
        <v>0</v>
      </c>
    </row>
    <row r="212" spans="1:12" ht="29.25">
      <c r="A212" s="1241" t="s">
        <v>161</v>
      </c>
      <c r="B212" s="1242" t="s">
        <v>342</v>
      </c>
      <c r="C212" s="1205">
        <v>2014</v>
      </c>
      <c r="D212" s="1205">
        <v>2015</v>
      </c>
      <c r="E212" s="1205">
        <v>2016</v>
      </c>
      <c r="F212" s="1205">
        <v>2017</v>
      </c>
      <c r="G212" s="1205">
        <v>2018</v>
      </c>
      <c r="H212" s="1205">
        <v>2019</v>
      </c>
      <c r="I212" s="1205">
        <v>2020</v>
      </c>
    </row>
    <row r="213" spans="1:12" ht="118.5" customHeight="1">
      <c r="A213" s="1128" t="s">
        <v>163</v>
      </c>
      <c r="B213" s="1243" t="s">
        <v>343</v>
      </c>
      <c r="C213" s="1155"/>
      <c r="D213" s="1244">
        <f>D214+D216+D217</f>
        <v>93483.89</v>
      </c>
      <c r="E213" s="1244">
        <f>E214+E216+E217</f>
        <v>555242.31000000006</v>
      </c>
      <c r="F213" s="1244">
        <f>F214+F216+F217</f>
        <v>502588.89</v>
      </c>
      <c r="G213" s="1156"/>
      <c r="H213" s="1156"/>
      <c r="I213" s="1156"/>
    </row>
    <row r="214" spans="1:12">
      <c r="A214" s="1128" t="s">
        <v>164</v>
      </c>
      <c r="B214" s="1243"/>
      <c r="C214" s="1155"/>
      <c r="D214" s="1245">
        <v>80668.899999999994</v>
      </c>
      <c r="E214" s="1244">
        <f>3291.5+7370.65+13642.26+211.82+4890+4700+28104.7+9296.8+17749.45+24942.5+5335+75299.37+50000+843.6+945+1600+12715</f>
        <v>260937.65</v>
      </c>
      <c r="F214" s="1245">
        <v>281090.43</v>
      </c>
      <c r="G214" s="1156"/>
      <c r="H214" s="1156"/>
      <c r="I214" s="1156"/>
    </row>
    <row r="215" spans="1:12">
      <c r="A215" s="1128" t="s">
        <v>165</v>
      </c>
      <c r="B215" s="1243"/>
      <c r="C215" s="1155"/>
      <c r="D215" s="1245">
        <v>0</v>
      </c>
      <c r="E215" s="1244">
        <v>0</v>
      </c>
      <c r="F215" s="1245">
        <v>0</v>
      </c>
      <c r="G215" s="1156"/>
      <c r="H215" s="1156"/>
      <c r="I215" s="1156"/>
    </row>
    <row r="216" spans="1:12" ht="132.75" customHeight="1">
      <c r="A216" s="1128" t="s">
        <v>166</v>
      </c>
      <c r="B216" s="1243" t="s">
        <v>344</v>
      </c>
      <c r="C216" s="1155"/>
      <c r="D216" s="1245">
        <v>11563.08</v>
      </c>
      <c r="E216" s="1244">
        <f>27231.51+124715.6</f>
        <v>151947.11000000002</v>
      </c>
      <c r="F216" s="1245">
        <v>115565.75</v>
      </c>
      <c r="G216" s="1156"/>
      <c r="H216" s="1156"/>
      <c r="I216" s="1156"/>
    </row>
    <row r="217" spans="1:12" ht="119.25" customHeight="1">
      <c r="A217" s="1128" t="s">
        <v>167</v>
      </c>
      <c r="B217" s="1243" t="s">
        <v>344</v>
      </c>
      <c r="C217" s="1155"/>
      <c r="D217" s="1245">
        <v>1251.9100000000001</v>
      </c>
      <c r="E217" s="1244">
        <f>12112.4+22275.07+11946.7+30363.96+13607.5+24270.88+2090+2639+675+21477.04+900</f>
        <v>142357.55000000002</v>
      </c>
      <c r="F217" s="1245">
        <v>105932.71</v>
      </c>
      <c r="G217" s="1156"/>
      <c r="H217" s="1156"/>
      <c r="I217" s="1156"/>
    </row>
    <row r="218" spans="1:12" ht="165">
      <c r="A218" s="1778" t="s">
        <v>168</v>
      </c>
      <c r="B218" s="1246" t="s">
        <v>583</v>
      </c>
      <c r="C218" s="1779"/>
      <c r="D218" s="1781">
        <v>97277.6</v>
      </c>
      <c r="E218" s="1782">
        <v>278731.90000000002</v>
      </c>
      <c r="F218" s="1783">
        <f>32065.96+251028.03</f>
        <v>283093.99</v>
      </c>
      <c r="G218" s="1777"/>
      <c r="H218" s="1777"/>
      <c r="I218" s="1777"/>
    </row>
    <row r="219" spans="1:12">
      <c r="A219" s="1128"/>
      <c r="B219" s="1247"/>
      <c r="C219" s="1138" t="s">
        <v>13</v>
      </c>
      <c r="D219" s="1248">
        <f t="shared" ref="D219:I219" si="24">SUM(D214:D218)</f>
        <v>190761.49</v>
      </c>
      <c r="E219" s="1248">
        <f t="shared" si="24"/>
        <v>833974.21000000008</v>
      </c>
      <c r="F219" s="1248">
        <f t="shared" si="24"/>
        <v>785682.88</v>
      </c>
      <c r="G219" s="1138">
        <f t="shared" si="24"/>
        <v>0</v>
      </c>
      <c r="H219" s="1138">
        <f t="shared" si="24"/>
        <v>0</v>
      </c>
      <c r="I219" s="1138">
        <f t="shared" si="24"/>
        <v>0</v>
      </c>
    </row>
    <row r="222" spans="1:12">
      <c r="A222" s="56"/>
      <c r="D222" s="327"/>
      <c r="E222" s="327"/>
    </row>
    <row r="223" spans="1:12">
      <c r="F223" s="160"/>
    </row>
    <row r="224" spans="1:12">
      <c r="F224" s="1249"/>
    </row>
    <row r="225" spans="1:5">
      <c r="B225" s="7"/>
    </row>
    <row r="226" spans="1:5">
      <c r="A226" s="160"/>
      <c r="B226" s="7"/>
    </row>
    <row r="227" spans="1:5">
      <c r="A227" s="56"/>
      <c r="B227" s="1250"/>
      <c r="E227" s="327"/>
    </row>
    <row r="228" spans="1:5">
      <c r="B228" s="1250"/>
    </row>
    <row r="229" spans="1:5">
      <c r="B229" s="1250"/>
    </row>
    <row r="230" spans="1:5">
      <c r="B230" s="1250"/>
    </row>
  </sheetData>
  <mergeCells count="82">
    <mergeCell ref="A28:B28"/>
    <mergeCell ref="M1:O1"/>
    <mergeCell ref="F3:O3"/>
    <mergeCell ref="A4:O10"/>
    <mergeCell ref="B15:B16"/>
    <mergeCell ref="C15:C16"/>
    <mergeCell ref="D15:G15"/>
    <mergeCell ref="A17:B17"/>
    <mergeCell ref="A18:B18"/>
    <mergeCell ref="B26:B27"/>
    <mergeCell ref="C26:C27"/>
    <mergeCell ref="D26:G26"/>
    <mergeCell ref="A53:B53"/>
    <mergeCell ref="A29:B29"/>
    <mergeCell ref="A30:B30"/>
    <mergeCell ref="A31:B31"/>
    <mergeCell ref="A32:B32"/>
    <mergeCell ref="A33:B33"/>
    <mergeCell ref="A34:B34"/>
    <mergeCell ref="A35:B35"/>
    <mergeCell ref="A40:B41"/>
    <mergeCell ref="A42:B43"/>
    <mergeCell ref="A50:B50"/>
    <mergeCell ref="A51:B52"/>
    <mergeCell ref="A66:B66"/>
    <mergeCell ref="A54:B54"/>
    <mergeCell ref="A55:B55"/>
    <mergeCell ref="A56:B56"/>
    <mergeCell ref="A57:B57"/>
    <mergeCell ref="A58:B58"/>
    <mergeCell ref="A60:A61"/>
    <mergeCell ref="B60:B61"/>
    <mergeCell ref="C60:C61"/>
    <mergeCell ref="D60:D61"/>
    <mergeCell ref="A63:B63"/>
    <mergeCell ref="A64:B64"/>
    <mergeCell ref="A65:B65"/>
    <mergeCell ref="A67:B67"/>
    <mergeCell ref="A68:B68"/>
    <mergeCell ref="A69:B69"/>
    <mergeCell ref="A72:B79"/>
    <mergeCell ref="A85:B92"/>
    <mergeCell ref="A120:B127"/>
    <mergeCell ref="C96:C97"/>
    <mergeCell ref="D96:E96"/>
    <mergeCell ref="B98:B105"/>
    <mergeCell ref="A107:A108"/>
    <mergeCell ref="B107:B108"/>
    <mergeCell ref="C107:C108"/>
    <mergeCell ref="D107:D108"/>
    <mergeCell ref="A96:A97"/>
    <mergeCell ref="B96:B97"/>
    <mergeCell ref="A109:B116"/>
    <mergeCell ref="A118:A119"/>
    <mergeCell ref="B118:B119"/>
    <mergeCell ref="C118:C119"/>
    <mergeCell ref="D118:D119"/>
    <mergeCell ref="A129:A130"/>
    <mergeCell ref="B129:B130"/>
    <mergeCell ref="C129:C130"/>
    <mergeCell ref="A131:B137"/>
    <mergeCell ref="A142:A143"/>
    <mergeCell ref="B142:B143"/>
    <mergeCell ref="C142:C143"/>
    <mergeCell ref="H187:L187"/>
    <mergeCell ref="I176:O176"/>
    <mergeCell ref="A178:B185"/>
    <mergeCell ref="J142:N142"/>
    <mergeCell ref="A144:B151"/>
    <mergeCell ref="A153:A154"/>
    <mergeCell ref="B153:B154"/>
    <mergeCell ref="C153:C154"/>
    <mergeCell ref="A155:B162"/>
    <mergeCell ref="A165:B172"/>
    <mergeCell ref="A176:A177"/>
    <mergeCell ref="B176:B177"/>
    <mergeCell ref="C176:C177"/>
    <mergeCell ref="A202:B209"/>
    <mergeCell ref="A187:A188"/>
    <mergeCell ref="B187:B188"/>
    <mergeCell ref="C187:C188"/>
    <mergeCell ref="D187:G18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27"/>
  <sheetViews>
    <sheetView topLeftCell="A4" zoomScale="70" zoomScaleNormal="70" workbookViewId="0">
      <selection activeCell="D219" sqref="D219:F219"/>
    </sheetView>
  </sheetViews>
  <sheetFormatPr defaultRowHeight="15"/>
  <cols>
    <col min="1" max="1" width="96.85546875" style="1254" customWidth="1"/>
    <col min="2" max="2" width="31.28515625" style="1254" customWidth="1"/>
    <col min="3" max="3" width="17.140625" style="1254" customWidth="1"/>
    <col min="4" max="7" width="18.85546875" style="1254" customWidth="1"/>
    <col min="8" max="8" width="15.28515625" style="1254" customWidth="1"/>
    <col min="9" max="9" width="17.7109375" style="1254" customWidth="1"/>
    <col min="10" max="10" width="16.85546875" style="1254" customWidth="1"/>
    <col min="11" max="11" width="18.5703125" style="1254" customWidth="1"/>
    <col min="12" max="12" width="16.42578125" style="1254" customWidth="1"/>
    <col min="13" max="13" width="15.42578125" style="1254" customWidth="1"/>
    <col min="14" max="14" width="14.85546875" style="1254" customWidth="1"/>
    <col min="15" max="15" width="14.42578125" style="1254" customWidth="1"/>
    <col min="16" max="25" width="14.5703125" style="1254" customWidth="1"/>
    <col min="26" max="1024" width="9.42578125" style="1254" customWidth="1"/>
  </cols>
  <sheetData>
    <row r="1" spans="1:25" s="1252" customFormat="1" ht="31.5">
      <c r="A1" s="1251" t="s">
        <v>0</v>
      </c>
      <c r="B1" s="2373" t="s">
        <v>345</v>
      </c>
      <c r="C1" s="2373"/>
      <c r="D1" s="2373"/>
      <c r="E1" s="2373"/>
      <c r="F1" s="2373"/>
    </row>
    <row r="2" spans="1:25" s="1252" customFormat="1" ht="20.100000000000001" customHeight="1"/>
    <row r="3" spans="1:25" s="1253" customFormat="1" ht="20.100000000000001" customHeight="1">
      <c r="A3" s="2374" t="s">
        <v>2</v>
      </c>
      <c r="B3" s="2374"/>
      <c r="C3" s="2374"/>
      <c r="D3" s="2374"/>
      <c r="E3" s="2374"/>
      <c r="F3" s="2375"/>
      <c r="G3" s="2375"/>
      <c r="H3" s="2375"/>
      <c r="I3" s="2375"/>
      <c r="J3" s="2375"/>
      <c r="K3" s="2375"/>
      <c r="L3" s="2375"/>
      <c r="M3" s="2375"/>
      <c r="N3" s="2375"/>
      <c r="O3" s="2375"/>
    </row>
    <row r="4" spans="1:25" s="1253" customFormat="1" ht="20.100000000000001" customHeight="1">
      <c r="A4" s="2376" t="s">
        <v>346</v>
      </c>
      <c r="B4" s="2376"/>
      <c r="C4" s="2376"/>
      <c r="D4" s="2376"/>
      <c r="E4" s="2376"/>
      <c r="F4" s="2376"/>
      <c r="G4" s="2376"/>
      <c r="H4" s="2376"/>
      <c r="I4" s="2376"/>
      <c r="J4" s="2376"/>
      <c r="K4" s="2376"/>
      <c r="L4" s="2376"/>
      <c r="M4" s="2376"/>
      <c r="N4" s="2376"/>
      <c r="O4" s="2376"/>
    </row>
    <row r="5" spans="1:25" s="1253" customFormat="1" ht="20.100000000000001" customHeight="1">
      <c r="A5" s="2376"/>
      <c r="B5" s="2376"/>
      <c r="C5" s="2376"/>
      <c r="D5" s="2376"/>
      <c r="E5" s="2376"/>
      <c r="F5" s="2376"/>
      <c r="G5" s="2376"/>
      <c r="H5" s="2376"/>
      <c r="I5" s="2376"/>
      <c r="J5" s="2376"/>
      <c r="K5" s="2376"/>
      <c r="L5" s="2376"/>
      <c r="M5" s="2376"/>
      <c r="N5" s="2376"/>
      <c r="O5" s="2376"/>
    </row>
    <row r="6" spans="1:25" s="1253" customFormat="1" ht="20.100000000000001" customHeight="1">
      <c r="A6" s="2376"/>
      <c r="B6" s="2376"/>
      <c r="C6" s="2376"/>
      <c r="D6" s="2376"/>
      <c r="E6" s="2376"/>
      <c r="F6" s="2376"/>
      <c r="G6" s="2376"/>
      <c r="H6" s="2376"/>
      <c r="I6" s="2376"/>
      <c r="J6" s="2376"/>
      <c r="K6" s="2376"/>
      <c r="L6" s="2376"/>
      <c r="M6" s="2376"/>
      <c r="N6" s="2376"/>
      <c r="O6" s="2376"/>
    </row>
    <row r="7" spans="1:25" s="1253" customFormat="1" ht="20.100000000000001" customHeight="1">
      <c r="A7" s="2376"/>
      <c r="B7" s="2376"/>
      <c r="C7" s="2376"/>
      <c r="D7" s="2376"/>
      <c r="E7" s="2376"/>
      <c r="F7" s="2376"/>
      <c r="G7" s="2376"/>
      <c r="H7" s="2376"/>
      <c r="I7" s="2376"/>
      <c r="J7" s="2376"/>
      <c r="K7" s="2376"/>
      <c r="L7" s="2376"/>
      <c r="M7" s="2376"/>
      <c r="N7" s="2376"/>
      <c r="O7" s="2376"/>
    </row>
    <row r="8" spans="1:25" s="1253" customFormat="1" ht="20.100000000000001" customHeight="1">
      <c r="A8" s="2376"/>
      <c r="B8" s="2376"/>
      <c r="C8" s="2376"/>
      <c r="D8" s="2376"/>
      <c r="E8" s="2376"/>
      <c r="F8" s="2376"/>
      <c r="G8" s="2376"/>
      <c r="H8" s="2376"/>
      <c r="I8" s="2376"/>
      <c r="J8" s="2376"/>
      <c r="K8" s="2376"/>
      <c r="L8" s="2376"/>
      <c r="M8" s="2376"/>
      <c r="N8" s="2376"/>
      <c r="O8" s="2376"/>
    </row>
    <row r="9" spans="1:25" s="1253" customFormat="1" ht="20.100000000000001" customHeight="1">
      <c r="A9" s="2376"/>
      <c r="B9" s="2376"/>
      <c r="C9" s="2376"/>
      <c r="D9" s="2376"/>
      <c r="E9" s="2376"/>
      <c r="F9" s="2376"/>
      <c r="G9" s="2376"/>
      <c r="H9" s="2376"/>
      <c r="I9" s="2376"/>
      <c r="J9" s="2376"/>
      <c r="K9" s="2376"/>
      <c r="L9" s="2376"/>
      <c r="M9" s="2376"/>
      <c r="N9" s="2376"/>
      <c r="O9" s="2376"/>
    </row>
    <row r="10" spans="1:25" s="1253" customFormat="1" ht="87" customHeight="1">
      <c r="A10" s="2376"/>
      <c r="B10" s="2376"/>
      <c r="C10" s="2376"/>
      <c r="D10" s="2376"/>
      <c r="E10" s="2376"/>
      <c r="F10" s="2376"/>
      <c r="G10" s="2376"/>
      <c r="H10" s="2376"/>
      <c r="I10" s="2376"/>
      <c r="J10" s="2376"/>
      <c r="K10" s="2376"/>
      <c r="L10" s="2376"/>
      <c r="M10" s="2376"/>
      <c r="N10" s="2376"/>
      <c r="O10" s="2376"/>
    </row>
    <row r="11" spans="1:25" s="1252" customFormat="1" ht="20.100000000000001" customHeight="1"/>
    <row r="12" spans="1:25" customFormat="1">
      <c r="A12" s="1254"/>
      <c r="B12" s="1254"/>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1254"/>
    </row>
    <row r="13" spans="1:25" customFormat="1" ht="21">
      <c r="A13" s="1255" t="s">
        <v>4</v>
      </c>
      <c r="B13" s="1255"/>
      <c r="C13" s="1256"/>
      <c r="D13" s="1256"/>
      <c r="E13" s="1256"/>
      <c r="F13" s="1256"/>
      <c r="G13" s="1256"/>
      <c r="H13" s="1256"/>
      <c r="I13" s="1256"/>
      <c r="J13" s="1256"/>
      <c r="K13" s="1256"/>
      <c r="L13" s="1256"/>
      <c r="M13" s="1256"/>
      <c r="N13" s="1256"/>
      <c r="O13" s="1256"/>
      <c r="P13" s="1254"/>
      <c r="Q13" s="1254"/>
      <c r="R13" s="1254"/>
      <c r="S13" s="1254"/>
      <c r="T13" s="1254"/>
      <c r="U13" s="1254"/>
      <c r="V13" s="1254"/>
      <c r="W13" s="1254"/>
      <c r="X13" s="1254"/>
      <c r="Y13" s="1254"/>
    </row>
    <row r="14" spans="1:25" customFormat="1">
      <c r="A14" s="1254"/>
      <c r="B14" s="1254"/>
      <c r="C14" s="1254"/>
      <c r="D14" s="1254"/>
      <c r="E14" s="1254"/>
      <c r="F14" s="1254"/>
      <c r="G14" s="1254"/>
      <c r="H14" s="1254"/>
      <c r="I14" s="1254"/>
      <c r="J14" s="1254"/>
      <c r="K14" s="1254"/>
      <c r="L14" s="1254"/>
      <c r="M14" s="1254"/>
      <c r="N14" s="1254"/>
      <c r="O14" s="1254"/>
      <c r="P14" s="1257"/>
      <c r="Q14" s="1257"/>
      <c r="R14" s="1257"/>
      <c r="S14" s="1257"/>
      <c r="T14" s="1257"/>
      <c r="U14" s="1257"/>
      <c r="V14" s="1257"/>
      <c r="W14" s="1257"/>
      <c r="X14" s="1257"/>
      <c r="Y14" s="1254"/>
    </row>
    <row r="15" spans="1:25" s="1265" customFormat="1" ht="22.5" customHeight="1">
      <c r="A15" s="1258"/>
      <c r="B15" s="1259"/>
      <c r="C15" s="1260"/>
      <c r="D15" s="2377" t="s">
        <v>5</v>
      </c>
      <c r="E15" s="2377"/>
      <c r="F15" s="2377"/>
      <c r="G15" s="2377"/>
      <c r="H15" s="1260"/>
      <c r="I15" s="1261" t="s">
        <v>6</v>
      </c>
      <c r="J15" s="1262"/>
      <c r="K15" s="1262"/>
      <c r="L15" s="1262"/>
      <c r="M15" s="1262"/>
      <c r="N15" s="1262"/>
      <c r="O15" s="1260"/>
      <c r="P15" s="1263"/>
      <c r="Q15" s="1263"/>
      <c r="R15" s="1264"/>
      <c r="S15" s="1264"/>
      <c r="T15" s="1264"/>
      <c r="U15" s="1264"/>
      <c r="V15" s="1264"/>
      <c r="W15" s="1263"/>
      <c r="X15" s="1263"/>
      <c r="Y15" s="1263"/>
    </row>
    <row r="16" spans="1:25" s="1274" customFormat="1" ht="129" customHeight="1">
      <c r="A16" s="1266" t="s">
        <v>7</v>
      </c>
      <c r="B16" s="1267" t="s">
        <v>347</v>
      </c>
      <c r="C16" s="1268" t="s">
        <v>9</v>
      </c>
      <c r="D16" s="1269" t="s">
        <v>10</v>
      </c>
      <c r="E16" s="1270" t="s">
        <v>11</v>
      </c>
      <c r="F16" s="1270" t="s">
        <v>12</v>
      </c>
      <c r="G16" s="1271" t="s">
        <v>13</v>
      </c>
      <c r="H16" s="1272" t="s">
        <v>14</v>
      </c>
      <c r="I16" s="1268" t="s">
        <v>15</v>
      </c>
      <c r="J16" s="1268" t="s">
        <v>16</v>
      </c>
      <c r="K16" s="1268" t="s">
        <v>17</v>
      </c>
      <c r="L16" s="1268" t="s">
        <v>348</v>
      </c>
      <c r="M16" s="1272" t="s">
        <v>19</v>
      </c>
      <c r="N16" s="1268" t="s">
        <v>20</v>
      </c>
      <c r="O16" s="1268" t="s">
        <v>21</v>
      </c>
      <c r="P16" s="1273"/>
      <c r="Q16" s="1273"/>
      <c r="R16" s="1273"/>
      <c r="S16" s="1273"/>
      <c r="T16" s="1273"/>
      <c r="U16" s="1273"/>
      <c r="V16" s="1273"/>
      <c r="W16" s="1273"/>
      <c r="X16" s="1273"/>
      <c r="Y16" s="1273"/>
    </row>
    <row r="17" spans="1:25" customFormat="1" ht="15" customHeight="1">
      <c r="A17" s="2372" t="s">
        <v>349</v>
      </c>
      <c r="B17" s="2365"/>
      <c r="C17" s="1275">
        <v>2014</v>
      </c>
      <c r="D17" s="1276"/>
      <c r="E17" s="1275"/>
      <c r="F17" s="1275"/>
      <c r="G17" s="1277">
        <v>0</v>
      </c>
      <c r="H17" s="1275"/>
      <c r="I17" s="1275"/>
      <c r="J17" s="1275"/>
      <c r="K17" s="1275"/>
      <c r="L17" s="1275"/>
      <c r="M17" s="1275"/>
      <c r="N17" s="1275"/>
      <c r="O17" s="1275"/>
      <c r="P17" s="1278"/>
      <c r="Q17" s="1278"/>
      <c r="R17" s="1278"/>
      <c r="S17" s="1278"/>
      <c r="T17" s="1278"/>
      <c r="U17" s="1278"/>
      <c r="V17" s="1278"/>
      <c r="W17" s="1278"/>
      <c r="X17" s="1278"/>
      <c r="Y17" s="1278"/>
    </row>
    <row r="18" spans="1:25" customFormat="1">
      <c r="A18" s="2364"/>
      <c r="B18" s="2365"/>
      <c r="C18" s="1279">
        <v>2015</v>
      </c>
      <c r="D18" s="1280">
        <v>5</v>
      </c>
      <c r="E18" s="1279">
        <v>0</v>
      </c>
      <c r="F18" s="1279">
        <v>0</v>
      </c>
      <c r="G18" s="1277">
        <f>SUM(D18:F18)</f>
        <v>5</v>
      </c>
      <c r="H18" s="1279">
        <v>1</v>
      </c>
      <c r="I18" s="1279">
        <v>0</v>
      </c>
      <c r="J18" s="1279">
        <v>0</v>
      </c>
      <c r="K18" s="1279">
        <v>0</v>
      </c>
      <c r="L18" s="1279">
        <v>0</v>
      </c>
      <c r="M18" s="1279">
        <v>0</v>
      </c>
      <c r="N18" s="1279">
        <v>0</v>
      </c>
      <c r="O18" s="1281">
        <v>4</v>
      </c>
      <c r="P18" s="1278"/>
      <c r="Q18" s="1278"/>
      <c r="R18" s="1278"/>
      <c r="S18" s="1278"/>
      <c r="T18" s="1278"/>
      <c r="U18" s="1278"/>
      <c r="V18" s="1278"/>
      <c r="W18" s="1278"/>
      <c r="X18" s="1278"/>
      <c r="Y18" s="1278"/>
    </row>
    <row r="19" spans="1:25" customFormat="1">
      <c r="A19" s="2364"/>
      <c r="B19" s="2365"/>
      <c r="C19" s="1279">
        <v>2016</v>
      </c>
      <c r="D19" s="1282">
        <v>12</v>
      </c>
      <c r="E19" s="1279">
        <v>2</v>
      </c>
      <c r="F19" s="1279">
        <v>2</v>
      </c>
      <c r="G19" s="1277">
        <f>SUM(D19:F19)</f>
        <v>16</v>
      </c>
      <c r="H19" s="1279">
        <v>0</v>
      </c>
      <c r="I19" s="1279">
        <v>0</v>
      </c>
      <c r="J19" s="1279">
        <v>0</v>
      </c>
      <c r="K19" s="1279">
        <v>1</v>
      </c>
      <c r="L19" s="1279">
        <v>0</v>
      </c>
      <c r="M19" s="1279">
        <v>0</v>
      </c>
      <c r="N19" s="1279">
        <v>0</v>
      </c>
      <c r="O19" s="1283">
        <v>15</v>
      </c>
      <c r="P19" s="1278"/>
      <c r="Q19" s="1278"/>
      <c r="R19" s="1278"/>
      <c r="S19" s="1278"/>
      <c r="T19" s="1278"/>
      <c r="U19" s="1278"/>
      <c r="V19" s="1278"/>
      <c r="W19" s="1278"/>
      <c r="X19" s="1278"/>
      <c r="Y19" s="1278"/>
    </row>
    <row r="20" spans="1:25" customFormat="1">
      <c r="A20" s="2364"/>
      <c r="B20" s="2365"/>
      <c r="C20" s="1279">
        <v>2017</v>
      </c>
      <c r="D20" s="1282">
        <v>7</v>
      </c>
      <c r="E20" s="1279">
        <v>2</v>
      </c>
      <c r="F20" s="1279">
        <v>1</v>
      </c>
      <c r="G20" s="1277">
        <v>10</v>
      </c>
      <c r="H20" s="1279">
        <v>0</v>
      </c>
      <c r="I20" s="1279">
        <v>5</v>
      </c>
      <c r="J20" s="1279">
        <v>0</v>
      </c>
      <c r="K20" s="1279">
        <v>5</v>
      </c>
      <c r="L20" s="1279">
        <v>0</v>
      </c>
      <c r="M20" s="1279">
        <v>0</v>
      </c>
      <c r="N20" s="1279">
        <v>0</v>
      </c>
      <c r="O20" s="1283">
        <v>0</v>
      </c>
      <c r="P20" s="1278"/>
      <c r="Q20" s="1278"/>
      <c r="R20" s="1278"/>
      <c r="S20" s="1278"/>
      <c r="T20" s="1278"/>
      <c r="U20" s="1278"/>
      <c r="V20" s="1278"/>
      <c r="W20" s="1278"/>
      <c r="X20" s="1278"/>
      <c r="Y20" s="1278"/>
    </row>
    <row r="21" spans="1:25" customFormat="1">
      <c r="A21" s="2364"/>
      <c r="B21" s="2365"/>
      <c r="C21" s="1279">
        <v>2018</v>
      </c>
      <c r="D21" s="1282"/>
      <c r="E21" s="1279"/>
      <c r="F21" s="1279"/>
      <c r="G21" s="1277">
        <v>0</v>
      </c>
      <c r="H21" s="1279"/>
      <c r="I21" s="1279"/>
      <c r="J21" s="1279"/>
      <c r="K21" s="1279"/>
      <c r="L21" s="1279"/>
      <c r="M21" s="1279"/>
      <c r="N21" s="1279"/>
      <c r="O21" s="1283"/>
      <c r="P21" s="1278"/>
      <c r="Q21" s="1278"/>
      <c r="R21" s="1278"/>
      <c r="S21" s="1278"/>
      <c r="T21" s="1278"/>
      <c r="U21" s="1278"/>
      <c r="V21" s="1278"/>
      <c r="W21" s="1278"/>
      <c r="X21" s="1278"/>
      <c r="Y21" s="1278"/>
    </row>
    <row r="22" spans="1:25" customFormat="1">
      <c r="A22" s="2364"/>
      <c r="B22" s="2365"/>
      <c r="C22" s="1284">
        <v>2019</v>
      </c>
      <c r="D22" s="1282"/>
      <c r="E22" s="1279"/>
      <c r="F22" s="1279"/>
      <c r="G22" s="1277">
        <v>0</v>
      </c>
      <c r="H22" s="1279"/>
      <c r="I22" s="1279"/>
      <c r="J22" s="1279"/>
      <c r="K22" s="1279"/>
      <c r="L22" s="1279"/>
      <c r="M22" s="1279"/>
      <c r="N22" s="1279"/>
      <c r="O22" s="1283"/>
      <c r="P22" s="1278"/>
      <c r="Q22" s="1278"/>
      <c r="R22" s="1278"/>
      <c r="S22" s="1278"/>
      <c r="T22" s="1278"/>
      <c r="U22" s="1278"/>
      <c r="V22" s="1278"/>
      <c r="W22" s="1278"/>
      <c r="X22" s="1278"/>
      <c r="Y22" s="1278"/>
    </row>
    <row r="23" spans="1:25" customFormat="1">
      <c r="A23" s="2364"/>
      <c r="B23" s="2365"/>
      <c r="C23" s="1279">
        <v>2020</v>
      </c>
      <c r="D23" s="1282"/>
      <c r="E23" s="1279"/>
      <c r="F23" s="1279"/>
      <c r="G23" s="1277">
        <v>0</v>
      </c>
      <c r="H23" s="1279"/>
      <c r="I23" s="1279"/>
      <c r="J23" s="1279"/>
      <c r="K23" s="1279"/>
      <c r="L23" s="1279"/>
      <c r="M23" s="1279"/>
      <c r="N23" s="1279"/>
      <c r="O23" s="1283"/>
      <c r="P23" s="1278"/>
      <c r="Q23" s="1278"/>
      <c r="R23" s="1278"/>
      <c r="S23" s="1278"/>
      <c r="T23" s="1278"/>
      <c r="U23" s="1278"/>
      <c r="V23" s="1278"/>
      <c r="W23" s="1278"/>
      <c r="X23" s="1278"/>
      <c r="Y23" s="1278"/>
    </row>
    <row r="24" spans="1:25" customFormat="1" ht="154.5" customHeight="1">
      <c r="A24" s="2366"/>
      <c r="B24" s="2367"/>
      <c r="C24" s="1285" t="s">
        <v>13</v>
      </c>
      <c r="D24" s="1286">
        <f t="shared" ref="D24:O24" si="0">SUM(D18:D23)</f>
        <v>24</v>
      </c>
      <c r="E24" s="1287">
        <f t="shared" si="0"/>
        <v>4</v>
      </c>
      <c r="F24" s="1287">
        <f t="shared" si="0"/>
        <v>3</v>
      </c>
      <c r="G24" s="1277">
        <f t="shared" si="0"/>
        <v>31</v>
      </c>
      <c r="H24" s="1287">
        <f t="shared" si="0"/>
        <v>1</v>
      </c>
      <c r="I24" s="1288">
        <f t="shared" si="0"/>
        <v>5</v>
      </c>
      <c r="J24" s="1288">
        <f t="shared" si="0"/>
        <v>0</v>
      </c>
      <c r="K24" s="1288">
        <f t="shared" si="0"/>
        <v>6</v>
      </c>
      <c r="L24" s="1288">
        <f t="shared" si="0"/>
        <v>0</v>
      </c>
      <c r="M24" s="1288">
        <f t="shared" si="0"/>
        <v>0</v>
      </c>
      <c r="N24" s="1288">
        <f t="shared" si="0"/>
        <v>0</v>
      </c>
      <c r="O24" s="1287">
        <f t="shared" si="0"/>
        <v>19</v>
      </c>
      <c r="P24" s="1278"/>
      <c r="Q24" s="1278"/>
      <c r="R24" s="1278"/>
      <c r="S24" s="1278"/>
      <c r="T24" s="1278"/>
      <c r="U24" s="1278"/>
      <c r="V24" s="1278"/>
      <c r="W24" s="1278"/>
      <c r="X24" s="1278"/>
      <c r="Y24" s="1278"/>
    </row>
    <row r="25" spans="1:25" customFormat="1">
      <c r="A25" s="1254"/>
      <c r="B25" s="1254"/>
      <c r="C25" s="1289"/>
      <c r="D25" s="1254"/>
      <c r="E25" s="1254"/>
      <c r="F25" s="1254"/>
      <c r="G25" s="1254"/>
      <c r="H25" s="1257"/>
      <c r="I25" s="1257"/>
      <c r="J25" s="1257"/>
      <c r="K25" s="1257"/>
      <c r="L25" s="1257"/>
      <c r="M25" s="1257"/>
      <c r="N25" s="1257"/>
      <c r="O25" s="1257"/>
      <c r="P25" s="1257"/>
      <c r="Q25" s="1257"/>
      <c r="R25" s="1254"/>
      <c r="S25" s="1254"/>
      <c r="T25" s="1254"/>
      <c r="U25" s="1254"/>
      <c r="V25" s="1254"/>
      <c r="W25" s="1254"/>
      <c r="X25" s="1254"/>
      <c r="Y25" s="1254"/>
    </row>
    <row r="26" spans="1:25" s="1265" customFormat="1" ht="30.75" customHeight="1">
      <c r="A26" s="1258"/>
      <c r="B26" s="1259"/>
      <c r="C26" s="1290"/>
      <c r="D26" s="2363" t="s">
        <v>5</v>
      </c>
      <c r="E26" s="2363"/>
      <c r="F26" s="2363"/>
      <c r="G26" s="2363"/>
      <c r="H26" s="1263"/>
      <c r="I26" s="1263"/>
      <c r="J26" s="1264"/>
      <c r="K26" s="1264"/>
      <c r="L26" s="1264"/>
      <c r="M26" s="1264"/>
      <c r="N26" s="1264"/>
      <c r="O26" s="1263"/>
      <c r="P26" s="1263"/>
    </row>
    <row r="27" spans="1:25" s="1274" customFormat="1" ht="93" customHeight="1">
      <c r="A27" s="1291" t="s">
        <v>23</v>
      </c>
      <c r="B27" s="1267" t="s">
        <v>347</v>
      </c>
      <c r="C27" s="1292" t="s">
        <v>9</v>
      </c>
      <c r="D27" s="1270" t="s">
        <v>10</v>
      </c>
      <c r="E27" s="1270" t="s">
        <v>11</v>
      </c>
      <c r="F27" s="1270" t="s">
        <v>12</v>
      </c>
      <c r="G27" s="1293" t="s">
        <v>13</v>
      </c>
      <c r="H27" s="1273"/>
      <c r="I27" s="1273"/>
      <c r="J27" s="1273"/>
      <c r="K27" s="1273"/>
      <c r="L27" s="1273"/>
      <c r="M27" s="1273"/>
      <c r="N27" s="1273"/>
      <c r="O27" s="1273"/>
      <c r="P27" s="1273"/>
      <c r="Q27" s="1265"/>
    </row>
    <row r="28" spans="1:25" customFormat="1" ht="15" customHeight="1">
      <c r="A28" s="2364" t="s">
        <v>350</v>
      </c>
      <c r="B28" s="2365"/>
      <c r="C28" s="1294">
        <v>2014</v>
      </c>
      <c r="D28" s="1275"/>
      <c r="E28" s="1275"/>
      <c r="F28" s="1275"/>
      <c r="G28" s="1287">
        <v>0</v>
      </c>
      <c r="H28" s="1278"/>
      <c r="I28" s="1278"/>
      <c r="J28" s="1278"/>
      <c r="K28" s="1278"/>
      <c r="L28" s="1278"/>
      <c r="M28" s="1278"/>
      <c r="N28" s="1278"/>
      <c r="O28" s="1278"/>
      <c r="P28" s="1278"/>
      <c r="Q28" s="1257"/>
      <c r="R28" s="1254"/>
      <c r="S28" s="1254"/>
      <c r="T28" s="1254"/>
      <c r="U28" s="1254"/>
      <c r="V28" s="1254"/>
      <c r="W28" s="1254"/>
      <c r="X28" s="1254"/>
      <c r="Y28" s="1254"/>
    </row>
    <row r="29" spans="1:25" customFormat="1">
      <c r="A29" s="2364"/>
      <c r="B29" s="2365"/>
      <c r="C29" s="1295">
        <v>2015</v>
      </c>
      <c r="D29" s="1296">
        <v>984</v>
      </c>
      <c r="E29" s="1296">
        <v>0</v>
      </c>
      <c r="F29" s="1296">
        <v>0</v>
      </c>
      <c r="G29" s="1297">
        <f>SUM(D29:F29)</f>
        <v>984</v>
      </c>
      <c r="H29" s="1278"/>
      <c r="I29" s="1278"/>
      <c r="J29" s="1278"/>
      <c r="K29" s="1278"/>
      <c r="L29" s="1278"/>
      <c r="M29" s="1278"/>
      <c r="N29" s="1278"/>
      <c r="O29" s="1278"/>
      <c r="P29" s="1278"/>
      <c r="Q29" s="1257"/>
      <c r="R29" s="1254"/>
      <c r="S29" s="1254"/>
      <c r="T29" s="1254"/>
      <c r="U29" s="1254"/>
      <c r="V29" s="1254"/>
      <c r="W29" s="1254"/>
      <c r="X29" s="1254"/>
      <c r="Y29" s="1254"/>
    </row>
    <row r="30" spans="1:25" customFormat="1">
      <c r="A30" s="2364"/>
      <c r="B30" s="2365"/>
      <c r="C30" s="1295">
        <v>2016</v>
      </c>
      <c r="D30" s="1298">
        <v>12390</v>
      </c>
      <c r="E30" s="1298">
        <v>90000</v>
      </c>
      <c r="F30" s="1298">
        <v>30000</v>
      </c>
      <c r="G30" s="1299">
        <f>SUM(D30:F30)</f>
        <v>132390</v>
      </c>
      <c r="H30" s="1278"/>
      <c r="I30" s="1278"/>
      <c r="J30" s="1278"/>
      <c r="K30" s="1278"/>
      <c r="L30" s="1278"/>
      <c r="M30" s="1278"/>
      <c r="N30" s="1278"/>
      <c r="O30" s="1278"/>
      <c r="P30" s="1278"/>
      <c r="Q30" s="1257"/>
      <c r="R30" s="1254"/>
      <c r="S30" s="1254"/>
      <c r="T30" s="1254"/>
      <c r="U30" s="1254"/>
      <c r="V30" s="1254"/>
      <c r="W30" s="1254"/>
      <c r="X30" s="1254"/>
      <c r="Y30" s="1254"/>
    </row>
    <row r="31" spans="1:25" customFormat="1">
      <c r="A31" s="2364"/>
      <c r="B31" s="2365"/>
      <c r="C31" s="1295">
        <v>2017</v>
      </c>
      <c r="D31" s="1298">
        <v>3850</v>
      </c>
      <c r="E31" s="1298">
        <v>17000</v>
      </c>
      <c r="F31" s="1298">
        <v>12000</v>
      </c>
      <c r="G31" s="1300">
        <v>32850</v>
      </c>
      <c r="H31" s="1278"/>
      <c r="I31" s="1278"/>
      <c r="J31" s="1278"/>
      <c r="K31" s="1278"/>
      <c r="L31" s="1278"/>
      <c r="M31" s="1278"/>
      <c r="N31" s="1278"/>
      <c r="O31" s="1278"/>
      <c r="P31" s="1278"/>
      <c r="Q31" s="1257"/>
      <c r="R31" s="1254"/>
      <c r="S31" s="1254"/>
      <c r="T31" s="1254"/>
      <c r="U31" s="1254"/>
      <c r="V31" s="1254"/>
      <c r="W31" s="1254"/>
      <c r="X31" s="1254"/>
      <c r="Y31" s="1254"/>
    </row>
    <row r="32" spans="1:25" customFormat="1">
      <c r="A32" s="2364"/>
      <c r="B32" s="2365"/>
      <c r="C32" s="1295">
        <v>2018</v>
      </c>
      <c r="D32" s="1301"/>
      <c r="E32" s="1301"/>
      <c r="F32" s="1301"/>
      <c r="G32" s="1299">
        <v>0</v>
      </c>
      <c r="H32" s="1278"/>
      <c r="I32" s="1278"/>
      <c r="J32" s="1278"/>
      <c r="K32" s="1278"/>
      <c r="L32" s="1278"/>
      <c r="M32" s="1278"/>
      <c r="N32" s="1278"/>
      <c r="O32" s="1278"/>
      <c r="P32" s="1278"/>
      <c r="Q32" s="1257"/>
      <c r="R32" s="1254"/>
      <c r="S32" s="1254"/>
      <c r="T32" s="1254"/>
      <c r="U32" s="1254"/>
      <c r="V32" s="1254"/>
      <c r="W32" s="1254"/>
      <c r="X32" s="1254"/>
      <c r="Y32" s="1254"/>
    </row>
    <row r="33" spans="1:17" customFormat="1">
      <c r="A33" s="2364"/>
      <c r="B33" s="2365"/>
      <c r="C33" s="1302">
        <v>2019</v>
      </c>
      <c r="D33" s="1301"/>
      <c r="E33" s="1301"/>
      <c r="F33" s="1301"/>
      <c r="G33" s="1299">
        <v>0</v>
      </c>
      <c r="H33" s="1278"/>
      <c r="I33" s="1278"/>
      <c r="J33" s="1278"/>
      <c r="K33" s="1278"/>
      <c r="L33" s="1278"/>
      <c r="M33" s="1278"/>
      <c r="N33" s="1278"/>
      <c r="O33" s="1278"/>
      <c r="P33" s="1278"/>
      <c r="Q33" s="1257"/>
    </row>
    <row r="34" spans="1:17" customFormat="1">
      <c r="A34" s="2364"/>
      <c r="B34" s="2365"/>
      <c r="C34" s="1295">
        <v>2020</v>
      </c>
      <c r="D34" s="1301"/>
      <c r="E34" s="1301"/>
      <c r="F34" s="1301"/>
      <c r="G34" s="1299">
        <v>0</v>
      </c>
      <c r="H34" s="1278"/>
      <c r="I34" s="1278"/>
      <c r="J34" s="1278"/>
      <c r="K34" s="1278"/>
      <c r="L34" s="1278"/>
      <c r="M34" s="1278"/>
      <c r="N34" s="1278"/>
      <c r="O34" s="1278"/>
      <c r="P34" s="1278"/>
      <c r="Q34" s="1257"/>
    </row>
    <row r="35" spans="1:17" customFormat="1" ht="212.25" customHeight="1">
      <c r="A35" s="2366"/>
      <c r="B35" s="2367"/>
      <c r="C35" s="1303" t="s">
        <v>13</v>
      </c>
      <c r="D35" s="1299">
        <f>SUM(D29:D34)</f>
        <v>17224</v>
      </c>
      <c r="E35" s="1299">
        <f>SUM(E29:E34)</f>
        <v>107000</v>
      </c>
      <c r="F35" s="1299">
        <f>SUM(F29:F34)</f>
        <v>42000</v>
      </c>
      <c r="G35" s="1299">
        <f>SUM(G29:G34)</f>
        <v>166224</v>
      </c>
      <c r="H35" s="1278"/>
      <c r="I35" s="1278"/>
      <c r="J35" s="1278"/>
      <c r="K35" s="1278"/>
      <c r="L35" s="1278"/>
      <c r="M35" s="1278"/>
      <c r="N35" s="1278"/>
      <c r="O35" s="1278"/>
      <c r="P35" s="1278"/>
      <c r="Q35" s="1257"/>
    </row>
    <row r="36" spans="1:17" customFormat="1">
      <c r="A36" s="1304"/>
      <c r="B36" s="1304"/>
      <c r="C36" s="1289"/>
      <c r="D36" s="1254"/>
      <c r="E36" s="1254"/>
      <c r="F36" s="1254"/>
      <c r="G36" s="1254"/>
      <c r="H36" s="1257"/>
      <c r="I36" s="1257"/>
      <c r="J36" s="1257"/>
      <c r="K36" s="1257"/>
      <c r="L36" s="1257"/>
      <c r="M36" s="1257"/>
      <c r="N36" s="1257"/>
      <c r="O36" s="1257"/>
      <c r="P36" s="1257"/>
      <c r="Q36" s="1257"/>
    </row>
    <row r="37" spans="1:17" customFormat="1" ht="21" customHeight="1">
      <c r="A37" s="1305" t="s">
        <v>25</v>
      </c>
      <c r="B37" s="1305"/>
      <c r="C37" s="1306"/>
      <c r="D37" s="1306"/>
      <c r="E37" s="1306"/>
      <c r="F37" s="1278"/>
      <c r="G37" s="1278"/>
      <c r="H37" s="1278"/>
      <c r="I37" s="1307"/>
      <c r="J37" s="1307"/>
      <c r="K37" s="1307"/>
      <c r="L37" s="1254"/>
      <c r="M37" s="1254"/>
      <c r="N37" s="1254"/>
      <c r="O37" s="1254"/>
      <c r="P37" s="1254"/>
      <c r="Q37" s="1254"/>
    </row>
    <row r="38" spans="1:17" customFormat="1" ht="12.75" customHeight="1">
      <c r="A38" s="1254"/>
      <c r="B38" s="1254"/>
      <c r="C38" s="1254"/>
      <c r="D38" s="1254"/>
      <c r="E38" s="1254"/>
      <c r="F38" s="1254"/>
      <c r="G38" s="1278"/>
      <c r="H38" s="1278"/>
      <c r="I38" s="1254"/>
      <c r="J38" s="1254"/>
      <c r="K38" s="1254"/>
      <c r="L38" s="1254"/>
      <c r="M38" s="1254"/>
      <c r="N38" s="1254"/>
      <c r="O38" s="1254"/>
      <c r="P38" s="1254"/>
      <c r="Q38" s="1254"/>
    </row>
    <row r="39" spans="1:17" customFormat="1" ht="88.5" customHeight="1">
      <c r="A39" s="1308" t="s">
        <v>26</v>
      </c>
      <c r="B39" s="1309" t="s">
        <v>347</v>
      </c>
      <c r="C39" s="1310" t="s">
        <v>9</v>
      </c>
      <c r="D39" s="1311" t="s">
        <v>28</v>
      </c>
      <c r="E39" s="1312" t="s">
        <v>29</v>
      </c>
      <c r="F39" s="1313"/>
      <c r="G39" s="1273"/>
      <c r="H39" s="1273"/>
      <c r="I39" s="1254"/>
      <c r="J39" s="1254"/>
      <c r="K39" s="1254"/>
      <c r="L39" s="1254"/>
      <c r="M39" s="1254"/>
      <c r="N39" s="1254"/>
      <c r="O39" s="1254"/>
      <c r="P39" s="1254"/>
      <c r="Q39" s="1254"/>
    </row>
    <row r="40" spans="1:17" customFormat="1">
      <c r="A40" s="2337" t="s">
        <v>351</v>
      </c>
      <c r="B40" s="2337"/>
      <c r="C40" s="1314">
        <v>2014</v>
      </c>
      <c r="D40" s="1276"/>
      <c r="E40" s="1275"/>
      <c r="F40" s="1257"/>
      <c r="G40" s="1278"/>
      <c r="H40" s="1278"/>
      <c r="I40" s="1254"/>
      <c r="J40" s="1254"/>
      <c r="K40" s="1254"/>
      <c r="L40" s="1254"/>
      <c r="M40" s="1254"/>
      <c r="N40" s="1254"/>
      <c r="O40" s="1254"/>
      <c r="P40" s="1254"/>
      <c r="Q40" s="1254"/>
    </row>
    <row r="41" spans="1:17" customFormat="1">
      <c r="A41" s="2337"/>
      <c r="B41" s="2337"/>
      <c r="C41" s="1315">
        <v>2015</v>
      </c>
      <c r="D41" s="1316">
        <v>12550</v>
      </c>
      <c r="E41" s="1296">
        <v>2265</v>
      </c>
      <c r="F41" s="1257"/>
      <c r="G41" s="1278"/>
      <c r="H41" s="1278"/>
      <c r="I41" s="1254"/>
      <c r="J41" s="1254"/>
      <c r="K41" s="1254"/>
      <c r="L41" s="1254"/>
      <c r="M41" s="1254"/>
      <c r="N41" s="1254"/>
      <c r="O41" s="1254"/>
      <c r="P41" s="1254"/>
      <c r="Q41" s="1254"/>
    </row>
    <row r="42" spans="1:17" customFormat="1">
      <c r="A42" s="2337"/>
      <c r="B42" s="2337"/>
      <c r="C42" s="1315">
        <v>2016</v>
      </c>
      <c r="D42" s="1317">
        <v>68992</v>
      </c>
      <c r="E42" s="1318">
        <v>16134</v>
      </c>
      <c r="F42" s="1257"/>
      <c r="G42" s="1278"/>
      <c r="H42" s="1278"/>
      <c r="I42" s="1254"/>
      <c r="J42" s="1254"/>
      <c r="K42" s="1254"/>
      <c r="L42" s="1254"/>
      <c r="M42" s="1254"/>
      <c r="N42" s="1254"/>
      <c r="O42" s="1254"/>
      <c r="P42" s="1254"/>
      <c r="Q42" s="1254"/>
    </row>
    <row r="43" spans="1:17" customFormat="1">
      <c r="A43" s="2337"/>
      <c r="B43" s="2337"/>
      <c r="C43" s="1315">
        <v>2017</v>
      </c>
      <c r="D43" s="1317">
        <v>39655</v>
      </c>
      <c r="E43" s="1318">
        <v>21956</v>
      </c>
      <c r="F43" s="1257"/>
      <c r="G43" s="1278"/>
      <c r="H43" s="1278"/>
      <c r="I43" s="1254"/>
      <c r="J43" s="1254"/>
      <c r="K43" s="1254"/>
      <c r="L43" s="1254"/>
      <c r="M43" s="1254"/>
      <c r="N43" s="1254"/>
      <c r="O43" s="1254"/>
      <c r="P43" s="1254"/>
      <c r="Q43" s="1254"/>
    </row>
    <row r="44" spans="1:17" customFormat="1">
      <c r="A44" s="2337"/>
      <c r="B44" s="2337"/>
      <c r="C44" s="1315">
        <v>2018</v>
      </c>
      <c r="D44" s="1316"/>
      <c r="E44" s="1296"/>
      <c r="F44" s="1257"/>
      <c r="G44" s="1278"/>
      <c r="H44" s="1278"/>
      <c r="I44" s="1254"/>
      <c r="J44" s="1254"/>
      <c r="K44" s="1254"/>
      <c r="L44" s="1254"/>
      <c r="M44" s="1254"/>
      <c r="N44" s="1254"/>
      <c r="O44" s="1254"/>
      <c r="P44" s="1254"/>
      <c r="Q44" s="1254"/>
    </row>
    <row r="45" spans="1:17" customFormat="1">
      <c r="A45" s="2337"/>
      <c r="B45" s="2337"/>
      <c r="C45" s="1315">
        <v>2019</v>
      </c>
      <c r="D45" s="1316"/>
      <c r="E45" s="1296"/>
      <c r="F45" s="1257"/>
      <c r="G45" s="1278"/>
      <c r="H45" s="1278"/>
      <c r="I45" s="1254"/>
      <c r="J45" s="1254"/>
      <c r="K45" s="1254"/>
      <c r="L45" s="1254"/>
      <c r="M45" s="1254"/>
      <c r="N45" s="1254"/>
      <c r="O45" s="1254"/>
      <c r="P45" s="1254"/>
      <c r="Q45" s="1254"/>
    </row>
    <row r="46" spans="1:17" customFormat="1">
      <c r="A46" s="2337"/>
      <c r="B46" s="2337"/>
      <c r="C46" s="1315">
        <v>2020</v>
      </c>
      <c r="D46" s="1316"/>
      <c r="E46" s="1296"/>
      <c r="F46" s="1257"/>
      <c r="G46" s="1278"/>
      <c r="H46" s="1278"/>
      <c r="I46" s="1254"/>
      <c r="J46" s="1254"/>
      <c r="K46" s="1254"/>
      <c r="L46" s="1254"/>
      <c r="M46" s="1254"/>
      <c r="N46" s="1254"/>
      <c r="O46" s="1254"/>
      <c r="P46" s="1254"/>
      <c r="Q46" s="1254"/>
    </row>
    <row r="47" spans="1:17" customFormat="1">
      <c r="A47" s="2337"/>
      <c r="B47" s="2337"/>
      <c r="C47" s="1285" t="s">
        <v>13</v>
      </c>
      <c r="D47" s="1286">
        <f>SUM(D41:D46)</f>
        <v>121197</v>
      </c>
      <c r="E47" s="1287">
        <f>SUM(E41:E46)</f>
        <v>40355</v>
      </c>
      <c r="F47" s="1319"/>
      <c r="G47" s="1278"/>
      <c r="H47" s="1278"/>
      <c r="I47" s="1254"/>
      <c r="J47" s="1254"/>
      <c r="K47" s="1254"/>
      <c r="L47" s="1254"/>
      <c r="M47" s="1254"/>
      <c r="N47" s="1254"/>
      <c r="O47" s="1254"/>
      <c r="P47" s="1254"/>
      <c r="Q47" s="1254"/>
    </row>
    <row r="48" spans="1:17" s="1278" customFormat="1">
      <c r="A48" s="1320"/>
      <c r="B48" s="1321"/>
      <c r="C48" s="1322"/>
    </row>
    <row r="49" spans="1:15" customFormat="1" ht="83.25" customHeight="1">
      <c r="A49" s="1323" t="s">
        <v>32</v>
      </c>
      <c r="B49" s="1309" t="s">
        <v>347</v>
      </c>
      <c r="C49" s="1324" t="s">
        <v>9</v>
      </c>
      <c r="D49" s="1311" t="s">
        <v>34</v>
      </c>
      <c r="E49" s="1312" t="s">
        <v>35</v>
      </c>
      <c r="F49" s="1312" t="s">
        <v>36</v>
      </c>
      <c r="G49" s="1312" t="s">
        <v>37</v>
      </c>
      <c r="H49" s="1312" t="s">
        <v>38</v>
      </c>
      <c r="I49" s="1312" t="s">
        <v>39</v>
      </c>
      <c r="J49" s="1312" t="s">
        <v>40</v>
      </c>
      <c r="K49" s="1312" t="s">
        <v>41</v>
      </c>
      <c r="L49" s="1254"/>
      <c r="M49" s="1254"/>
      <c r="N49" s="1254"/>
      <c r="O49" s="1254"/>
    </row>
    <row r="50" spans="1:15" customFormat="1" ht="17.25" customHeight="1">
      <c r="A50" s="2330" t="s">
        <v>266</v>
      </c>
      <c r="B50" s="2330"/>
      <c r="C50" s="1325" t="s">
        <v>43</v>
      </c>
      <c r="D50" s="1276"/>
      <c r="E50" s="1275"/>
      <c r="F50" s="1275"/>
      <c r="G50" s="1275"/>
      <c r="H50" s="1275"/>
      <c r="I50" s="1275"/>
      <c r="J50" s="1275"/>
      <c r="K50" s="1275"/>
      <c r="L50" s="1254"/>
      <c r="M50" s="1254"/>
      <c r="N50" s="1254"/>
      <c r="O50" s="1254"/>
    </row>
    <row r="51" spans="1:15" customFormat="1" ht="15" customHeight="1">
      <c r="A51" s="2330"/>
      <c r="B51" s="2330"/>
      <c r="C51" s="1315">
        <v>2014</v>
      </c>
      <c r="D51" s="1282"/>
      <c r="E51" s="1279"/>
      <c r="F51" s="1279"/>
      <c r="G51" s="1279"/>
      <c r="H51" s="1279"/>
      <c r="I51" s="1279"/>
      <c r="J51" s="1279"/>
      <c r="K51" s="1279"/>
      <c r="L51" s="1254"/>
      <c r="M51" s="1254"/>
      <c r="N51" s="1254"/>
      <c r="O51" s="1254"/>
    </row>
    <row r="52" spans="1:15" customFormat="1">
      <c r="A52" s="2330"/>
      <c r="B52" s="2330"/>
      <c r="C52" s="1315">
        <v>2015</v>
      </c>
      <c r="D52" s="1282">
        <v>0</v>
      </c>
      <c r="E52" s="1279">
        <v>0</v>
      </c>
      <c r="F52" s="1279">
        <v>0</v>
      </c>
      <c r="G52" s="1279">
        <v>0</v>
      </c>
      <c r="H52" s="1279">
        <v>0</v>
      </c>
      <c r="I52" s="1279">
        <v>0</v>
      </c>
      <c r="J52" s="1279">
        <v>0</v>
      </c>
      <c r="K52" s="1279">
        <v>0</v>
      </c>
      <c r="L52" s="1254"/>
      <c r="M52" s="1254"/>
      <c r="N52" s="1254"/>
      <c r="O52" s="1254"/>
    </row>
    <row r="53" spans="1:15" customFormat="1">
      <c r="A53" s="2330"/>
      <c r="B53" s="2330"/>
      <c r="C53" s="1315">
        <v>2016</v>
      </c>
      <c r="D53" s="1282">
        <v>0</v>
      </c>
      <c r="E53" s="1279">
        <v>0</v>
      </c>
      <c r="F53" s="1279">
        <v>0</v>
      </c>
      <c r="G53" s="1279">
        <v>0</v>
      </c>
      <c r="H53" s="1279">
        <v>0</v>
      </c>
      <c r="I53" s="1279">
        <v>0</v>
      </c>
      <c r="J53" s="1279">
        <v>0</v>
      </c>
      <c r="K53" s="1279">
        <v>0</v>
      </c>
      <c r="L53" s="1254"/>
      <c r="M53" s="1254"/>
      <c r="N53" s="1254"/>
      <c r="O53" s="1254"/>
    </row>
    <row r="54" spans="1:15" customFormat="1">
      <c r="A54" s="2330"/>
      <c r="B54" s="2330"/>
      <c r="C54" s="1315">
        <v>2017</v>
      </c>
      <c r="D54" s="1282"/>
      <c r="E54" s="1279"/>
      <c r="F54" s="1279"/>
      <c r="G54" s="1279"/>
      <c r="H54" s="1279"/>
      <c r="I54" s="1279"/>
      <c r="J54" s="1279"/>
      <c r="K54" s="1279"/>
      <c r="L54" s="1254"/>
      <c r="M54" s="1254"/>
      <c r="N54" s="1254"/>
      <c r="O54" s="1254"/>
    </row>
    <row r="55" spans="1:15" customFormat="1">
      <c r="A55" s="2330"/>
      <c r="B55" s="2330"/>
      <c r="C55" s="1315">
        <v>2018</v>
      </c>
      <c r="D55" s="1282"/>
      <c r="E55" s="1279"/>
      <c r="F55" s="1279"/>
      <c r="G55" s="1279"/>
      <c r="H55" s="1279"/>
      <c r="I55" s="1279"/>
      <c r="J55" s="1279"/>
      <c r="K55" s="1279"/>
      <c r="L55" s="1254"/>
      <c r="M55" s="1254"/>
      <c r="N55" s="1254"/>
      <c r="O55" s="1254"/>
    </row>
    <row r="56" spans="1:15" customFormat="1">
      <c r="A56" s="2330"/>
      <c r="B56" s="2330"/>
      <c r="C56" s="1315">
        <v>2019</v>
      </c>
      <c r="D56" s="1282"/>
      <c r="E56" s="1279"/>
      <c r="F56" s="1279"/>
      <c r="G56" s="1279"/>
      <c r="H56" s="1279"/>
      <c r="I56" s="1279"/>
      <c r="J56" s="1279"/>
      <c r="K56" s="1279"/>
      <c r="L56" s="1254"/>
      <c r="M56" s="1254"/>
      <c r="N56" s="1254"/>
      <c r="O56" s="1254"/>
    </row>
    <row r="57" spans="1:15" customFormat="1">
      <c r="A57" s="2330"/>
      <c r="B57" s="2330"/>
      <c r="C57" s="1315">
        <v>2020</v>
      </c>
      <c r="D57" s="1282"/>
      <c r="E57" s="1279"/>
      <c r="F57" s="1279"/>
      <c r="G57" s="1279"/>
      <c r="H57" s="1279"/>
      <c r="I57" s="1279"/>
      <c r="J57" s="1279"/>
      <c r="K57" s="1326"/>
      <c r="L57" s="1254"/>
      <c r="M57" s="1254"/>
      <c r="N57" s="1254"/>
      <c r="O57" s="1254"/>
    </row>
    <row r="58" spans="1:15" customFormat="1" ht="20.25" customHeight="1">
      <c r="A58" s="2330"/>
      <c r="B58" s="2330"/>
      <c r="C58" s="1285" t="s">
        <v>13</v>
      </c>
      <c r="D58" s="1286">
        <v>0</v>
      </c>
      <c r="E58" s="1287">
        <v>0</v>
      </c>
      <c r="F58" s="1287">
        <v>0</v>
      </c>
      <c r="G58" s="1287">
        <v>0</v>
      </c>
      <c r="H58" s="1287">
        <v>0</v>
      </c>
      <c r="I58" s="1287">
        <v>0</v>
      </c>
      <c r="J58" s="1287">
        <v>0</v>
      </c>
      <c r="K58" s="1287">
        <v>0</v>
      </c>
      <c r="L58" s="1254"/>
      <c r="M58" s="1254"/>
      <c r="N58" s="1254"/>
      <c r="O58" s="1254"/>
    </row>
    <row r="59" spans="1:15" customFormat="1">
      <c r="A59" s="1254"/>
      <c r="B59" s="1254"/>
      <c r="C59" s="1254"/>
      <c r="D59" s="1254"/>
      <c r="E59" s="1254"/>
      <c r="F59" s="1254"/>
      <c r="G59" s="1254"/>
      <c r="H59" s="1254"/>
      <c r="I59" s="1254"/>
      <c r="J59" s="1254"/>
      <c r="K59" s="1254"/>
      <c r="L59" s="1254"/>
      <c r="M59" s="1254"/>
      <c r="N59" s="1254"/>
      <c r="O59" s="1254"/>
    </row>
    <row r="60" spans="1:15" customFormat="1" ht="21" customHeight="1">
      <c r="A60" s="2368" t="s">
        <v>44</v>
      </c>
      <c r="B60" s="1327"/>
      <c r="C60" s="2369" t="s">
        <v>9</v>
      </c>
      <c r="D60" s="2370" t="s">
        <v>45</v>
      </c>
      <c r="E60" s="2371" t="s">
        <v>6</v>
      </c>
      <c r="F60" s="2371"/>
      <c r="G60" s="2371"/>
      <c r="H60" s="2371"/>
      <c r="I60" s="2371"/>
      <c r="J60" s="2371"/>
      <c r="K60" s="2371"/>
      <c r="L60" s="2371"/>
      <c r="M60" s="1254"/>
      <c r="N60" s="1254"/>
      <c r="O60" s="1254"/>
    </row>
    <row r="61" spans="1:15" customFormat="1" ht="115.5" customHeight="1">
      <c r="A61" s="2368"/>
      <c r="B61" s="1309" t="s">
        <v>347</v>
      </c>
      <c r="C61" s="2369"/>
      <c r="D61" s="2370"/>
      <c r="E61" s="1328" t="s">
        <v>14</v>
      </c>
      <c r="F61" s="1329" t="s">
        <v>15</v>
      </c>
      <c r="G61" s="1329" t="s">
        <v>16</v>
      </c>
      <c r="H61" s="1330" t="s">
        <v>17</v>
      </c>
      <c r="I61" s="1330" t="s">
        <v>348</v>
      </c>
      <c r="J61" s="1331" t="s">
        <v>19</v>
      </c>
      <c r="K61" s="1329" t="s">
        <v>20</v>
      </c>
      <c r="L61" s="1329" t="s">
        <v>21</v>
      </c>
      <c r="M61" s="1332"/>
      <c r="N61" s="1257"/>
      <c r="O61" s="1257"/>
    </row>
    <row r="62" spans="1:15" customFormat="1">
      <c r="A62" s="2337" t="s">
        <v>352</v>
      </c>
      <c r="B62" s="2337"/>
      <c r="C62" s="1314">
        <v>2014</v>
      </c>
      <c r="D62" s="1314"/>
      <c r="E62" s="1333"/>
      <c r="F62" s="1334"/>
      <c r="G62" s="1334"/>
      <c r="H62" s="1334"/>
      <c r="I62" s="1334"/>
      <c r="J62" s="1334"/>
      <c r="K62" s="1334"/>
      <c r="L62" s="1275"/>
      <c r="M62" s="1257"/>
      <c r="N62" s="1257"/>
      <c r="O62" s="1257"/>
    </row>
    <row r="63" spans="1:15" customFormat="1">
      <c r="A63" s="2337"/>
      <c r="B63" s="2337"/>
      <c r="C63" s="1315">
        <v>2015</v>
      </c>
      <c r="D63" s="1315">
        <v>3</v>
      </c>
      <c r="E63" s="1335">
        <v>0</v>
      </c>
      <c r="F63" s="1279">
        <v>0</v>
      </c>
      <c r="G63" s="1279">
        <v>0</v>
      </c>
      <c r="H63" s="1279">
        <v>0</v>
      </c>
      <c r="I63" s="1279">
        <v>0</v>
      </c>
      <c r="J63" s="1279">
        <v>0</v>
      </c>
      <c r="K63" s="1279">
        <v>0</v>
      </c>
      <c r="L63" s="1279">
        <v>3</v>
      </c>
      <c r="M63" s="1257"/>
      <c r="N63" s="1257"/>
      <c r="O63" s="1257"/>
    </row>
    <row r="64" spans="1:15" customFormat="1">
      <c r="A64" s="2337"/>
      <c r="B64" s="2337"/>
      <c r="C64" s="1315">
        <v>2016</v>
      </c>
      <c r="D64" s="1336">
        <v>5</v>
      </c>
      <c r="E64" s="1335">
        <v>0</v>
      </c>
      <c r="F64" s="1279">
        <v>0</v>
      </c>
      <c r="G64" s="1279">
        <v>0</v>
      </c>
      <c r="H64" s="1279">
        <v>0</v>
      </c>
      <c r="I64" s="1279">
        <v>0</v>
      </c>
      <c r="J64" s="1279">
        <v>0</v>
      </c>
      <c r="K64" s="1279">
        <v>0</v>
      </c>
      <c r="L64" s="1337">
        <v>5</v>
      </c>
      <c r="M64" s="1257"/>
      <c r="N64" s="1257"/>
      <c r="O64" s="1257"/>
    </row>
    <row r="65" spans="1:20" customFormat="1">
      <c r="A65" s="2337"/>
      <c r="B65" s="2337"/>
      <c r="C65" s="1315">
        <v>2017</v>
      </c>
      <c r="D65" s="1315">
        <v>4</v>
      </c>
      <c r="E65" s="1335">
        <v>2</v>
      </c>
      <c r="F65" s="1279">
        <v>0</v>
      </c>
      <c r="G65" s="1279">
        <v>0</v>
      </c>
      <c r="H65" s="1279">
        <v>1</v>
      </c>
      <c r="I65" s="1279">
        <v>0</v>
      </c>
      <c r="J65" s="1279">
        <v>0</v>
      </c>
      <c r="K65" s="1279">
        <v>0</v>
      </c>
      <c r="L65" s="1279">
        <v>1</v>
      </c>
      <c r="M65" s="1257"/>
      <c r="N65" s="1257"/>
      <c r="O65" s="1257"/>
      <c r="P65" s="1254"/>
      <c r="Q65" s="1254"/>
      <c r="R65" s="1254"/>
      <c r="S65" s="1254"/>
      <c r="T65" s="1254"/>
    </row>
    <row r="66" spans="1:20" customFormat="1">
      <c r="A66" s="2337"/>
      <c r="B66" s="2337"/>
      <c r="C66" s="1315">
        <v>2018</v>
      </c>
      <c r="D66" s="1315"/>
      <c r="E66" s="1335"/>
      <c r="F66" s="1279"/>
      <c r="G66" s="1279"/>
      <c r="H66" s="1279"/>
      <c r="I66" s="1279"/>
      <c r="J66" s="1279"/>
      <c r="K66" s="1279"/>
      <c r="L66" s="1279"/>
      <c r="M66" s="1257"/>
      <c r="N66" s="1257"/>
      <c r="O66" s="1257"/>
      <c r="P66" s="1254"/>
      <c r="Q66" s="1254"/>
      <c r="R66" s="1254"/>
      <c r="S66" s="1254"/>
      <c r="T66" s="1254"/>
    </row>
    <row r="67" spans="1:20" customFormat="1" ht="17.25" customHeight="1">
      <c r="A67" s="2337"/>
      <c r="B67" s="2337"/>
      <c r="C67" s="1315">
        <v>2019</v>
      </c>
      <c r="D67" s="1315"/>
      <c r="E67" s="1335"/>
      <c r="F67" s="1279"/>
      <c r="G67" s="1279"/>
      <c r="H67" s="1279"/>
      <c r="I67" s="1279"/>
      <c r="J67" s="1279"/>
      <c r="K67" s="1279"/>
      <c r="L67" s="1279"/>
      <c r="M67" s="1257"/>
      <c r="N67" s="1257"/>
      <c r="O67" s="1257"/>
      <c r="P67" s="1254"/>
      <c r="Q67" s="1254"/>
      <c r="R67" s="1254"/>
      <c r="S67" s="1254"/>
      <c r="T67" s="1254"/>
    </row>
    <row r="68" spans="1:20" customFormat="1" ht="16.5" customHeight="1">
      <c r="A68" s="2337"/>
      <c r="B68" s="2337"/>
      <c r="C68" s="1315">
        <v>2020</v>
      </c>
      <c r="D68" s="1315"/>
      <c r="E68" s="1335"/>
      <c r="F68" s="1279"/>
      <c r="G68" s="1279"/>
      <c r="H68" s="1279"/>
      <c r="I68" s="1279"/>
      <c r="J68" s="1279"/>
      <c r="K68" s="1279"/>
      <c r="L68" s="1279"/>
      <c r="M68" s="1319"/>
      <c r="N68" s="1319"/>
      <c r="O68" s="1319"/>
      <c r="P68" s="1254"/>
      <c r="Q68" s="1254"/>
      <c r="R68" s="1254"/>
      <c r="S68" s="1254"/>
      <c r="T68" s="1254"/>
    </row>
    <row r="69" spans="1:20" customFormat="1" ht="18" customHeight="1">
      <c r="A69" s="2337"/>
      <c r="B69" s="2337"/>
      <c r="C69" s="1338" t="s">
        <v>13</v>
      </c>
      <c r="D69" s="1339">
        <f t="shared" ref="D69:L69" si="1">SUM(D63:D68)</f>
        <v>12</v>
      </c>
      <c r="E69" s="1340">
        <f t="shared" si="1"/>
        <v>2</v>
      </c>
      <c r="F69" s="1341">
        <f t="shared" si="1"/>
        <v>0</v>
      </c>
      <c r="G69" s="1341">
        <f t="shared" si="1"/>
        <v>0</v>
      </c>
      <c r="H69" s="1341">
        <f t="shared" si="1"/>
        <v>1</v>
      </c>
      <c r="I69" s="1341">
        <f t="shared" si="1"/>
        <v>0</v>
      </c>
      <c r="J69" s="1341">
        <f t="shared" si="1"/>
        <v>0</v>
      </c>
      <c r="K69" s="1341">
        <f t="shared" si="1"/>
        <v>0</v>
      </c>
      <c r="L69" s="1341">
        <f t="shared" si="1"/>
        <v>9</v>
      </c>
      <c r="M69" s="1319"/>
      <c r="N69" s="1319"/>
      <c r="O69" s="1319"/>
      <c r="P69" s="1254"/>
      <c r="Q69" s="1254"/>
      <c r="R69" s="1254"/>
      <c r="S69" s="1254"/>
      <c r="T69" s="1254"/>
    </row>
    <row r="70" spans="1:20" customFormat="1" ht="20.25" customHeight="1">
      <c r="A70" s="1342"/>
      <c r="B70" s="1343"/>
      <c r="C70" s="1344"/>
      <c r="D70" s="1345"/>
      <c r="E70" s="1345"/>
      <c r="F70" s="1345"/>
      <c r="G70" s="1345"/>
      <c r="H70" s="1344"/>
      <c r="I70" s="1346"/>
      <c r="J70" s="1346"/>
      <c r="K70" s="1346"/>
      <c r="L70" s="1346"/>
      <c r="M70" s="1346"/>
      <c r="N70" s="1346"/>
      <c r="O70" s="1346"/>
      <c r="P70" s="1274"/>
      <c r="Q70" s="1274"/>
      <c r="R70" s="1274"/>
      <c r="S70" s="1274"/>
      <c r="T70" s="1274"/>
    </row>
    <row r="71" spans="1:20" customFormat="1" ht="132" customHeight="1">
      <c r="A71" s="1308" t="s">
        <v>47</v>
      </c>
      <c r="B71" s="1309" t="s">
        <v>347</v>
      </c>
      <c r="C71" s="1310" t="s">
        <v>9</v>
      </c>
      <c r="D71" s="1347" t="s">
        <v>49</v>
      </c>
      <c r="E71" s="1347" t="s">
        <v>353</v>
      </c>
      <c r="F71" s="1347" t="s">
        <v>354</v>
      </c>
      <c r="G71" s="1348" t="s">
        <v>52</v>
      </c>
      <c r="H71" s="1349" t="s">
        <v>14</v>
      </c>
      <c r="I71" s="1347" t="s">
        <v>15</v>
      </c>
      <c r="J71" s="1347" t="s">
        <v>16</v>
      </c>
      <c r="K71" s="1347" t="s">
        <v>17</v>
      </c>
      <c r="L71" s="1347" t="s">
        <v>348</v>
      </c>
      <c r="M71" s="1350" t="s">
        <v>19</v>
      </c>
      <c r="N71" s="1347" t="s">
        <v>20</v>
      </c>
      <c r="O71" s="1347" t="s">
        <v>21</v>
      </c>
      <c r="P71" s="1254"/>
      <c r="Q71" s="1254"/>
      <c r="R71" s="1254"/>
      <c r="S71" s="1254"/>
      <c r="T71" s="1254"/>
    </row>
    <row r="72" spans="1:20" customFormat="1" ht="15" customHeight="1">
      <c r="A72" s="2337" t="s">
        <v>355</v>
      </c>
      <c r="B72" s="2337"/>
      <c r="C72" s="1314">
        <v>2014</v>
      </c>
      <c r="D72" s="1314"/>
      <c r="E72" s="1314"/>
      <c r="F72" s="1314"/>
      <c r="G72" s="1351">
        <v>0</v>
      </c>
      <c r="H72" s="1276"/>
      <c r="I72" s="1352"/>
      <c r="J72" s="1334"/>
      <c r="K72" s="1334"/>
      <c r="L72" s="1334"/>
      <c r="M72" s="1334"/>
      <c r="N72" s="1334"/>
      <c r="O72" s="1334"/>
      <c r="P72" s="1254"/>
      <c r="Q72" s="1254"/>
      <c r="R72" s="1254"/>
      <c r="S72" s="1254"/>
      <c r="T72" s="1254"/>
    </row>
    <row r="73" spans="1:20" customFormat="1">
      <c r="A73" s="2337"/>
      <c r="B73" s="2337"/>
      <c r="C73" s="1315">
        <v>2015</v>
      </c>
      <c r="D73" s="1315">
        <v>0</v>
      </c>
      <c r="E73" s="1315">
        <v>0</v>
      </c>
      <c r="F73" s="1315">
        <v>9</v>
      </c>
      <c r="G73" s="1351">
        <f>SUM(D73:F73)</f>
        <v>9</v>
      </c>
      <c r="H73" s="1282">
        <v>0</v>
      </c>
      <c r="I73" s="1282">
        <v>0</v>
      </c>
      <c r="J73" s="1279">
        <v>0</v>
      </c>
      <c r="K73" s="1279">
        <v>0</v>
      </c>
      <c r="L73" s="1279">
        <v>0</v>
      </c>
      <c r="M73" s="1279">
        <v>0</v>
      </c>
      <c r="N73" s="1279">
        <v>0</v>
      </c>
      <c r="O73" s="1279">
        <v>9</v>
      </c>
      <c r="P73" s="1254"/>
      <c r="Q73" s="1254"/>
      <c r="R73" s="1254"/>
      <c r="S73" s="1254"/>
      <c r="T73" s="1254"/>
    </row>
    <row r="74" spans="1:20" customFormat="1">
      <c r="A74" s="2337"/>
      <c r="B74" s="2337"/>
      <c r="C74" s="1315">
        <v>2016</v>
      </c>
      <c r="D74" s="1315">
        <v>0</v>
      </c>
      <c r="E74" s="1315">
        <v>2</v>
      </c>
      <c r="F74" s="1315">
        <v>1</v>
      </c>
      <c r="G74" s="1351">
        <f>SUM(D74,E74,F74)</f>
        <v>3</v>
      </c>
      <c r="H74" s="1282">
        <v>0</v>
      </c>
      <c r="I74" s="1282">
        <v>0</v>
      </c>
      <c r="J74" s="1279">
        <v>0</v>
      </c>
      <c r="K74" s="1279">
        <v>0</v>
      </c>
      <c r="L74" s="1279">
        <v>0</v>
      </c>
      <c r="M74" s="1279">
        <v>0</v>
      </c>
      <c r="N74" s="1279">
        <v>0</v>
      </c>
      <c r="O74" s="1279">
        <v>3</v>
      </c>
      <c r="P74" s="1254"/>
      <c r="Q74" s="1254"/>
      <c r="R74" s="1254"/>
      <c r="S74" s="1254"/>
      <c r="T74" s="1254"/>
    </row>
    <row r="75" spans="1:20" customFormat="1">
      <c r="A75" s="2337"/>
      <c r="B75" s="2337"/>
      <c r="C75" s="1315">
        <v>2017</v>
      </c>
      <c r="D75" s="1315">
        <v>0</v>
      </c>
      <c r="E75" s="1315">
        <v>3</v>
      </c>
      <c r="F75" s="1315">
        <v>1</v>
      </c>
      <c r="G75" s="1351">
        <v>4</v>
      </c>
      <c r="H75" s="1282">
        <v>0</v>
      </c>
      <c r="I75" s="1282">
        <v>0</v>
      </c>
      <c r="J75" s="1279">
        <v>0</v>
      </c>
      <c r="K75" s="1279">
        <v>3</v>
      </c>
      <c r="L75" s="1279">
        <v>0</v>
      </c>
      <c r="M75" s="1279">
        <v>0</v>
      </c>
      <c r="N75" s="1279">
        <v>0</v>
      </c>
      <c r="O75" s="1279">
        <v>1</v>
      </c>
      <c r="P75" s="1254"/>
      <c r="Q75" s="1254"/>
      <c r="R75" s="1254"/>
      <c r="S75" s="1254"/>
      <c r="T75" s="1254"/>
    </row>
    <row r="76" spans="1:20" customFormat="1">
      <c r="A76" s="2337"/>
      <c r="B76" s="2337"/>
      <c r="C76" s="1315">
        <v>2018</v>
      </c>
      <c r="D76" s="1315"/>
      <c r="E76" s="1315"/>
      <c r="F76" s="1315"/>
      <c r="G76" s="1351">
        <v>0</v>
      </c>
      <c r="H76" s="1282"/>
      <c r="I76" s="1282"/>
      <c r="J76" s="1279"/>
      <c r="K76" s="1279"/>
      <c r="L76" s="1279"/>
      <c r="M76" s="1279"/>
      <c r="N76" s="1279"/>
      <c r="O76" s="1279"/>
      <c r="P76" s="1254"/>
      <c r="Q76" s="1254"/>
      <c r="R76" s="1254"/>
      <c r="S76" s="1254"/>
      <c r="T76" s="1254"/>
    </row>
    <row r="77" spans="1:20" customFormat="1" ht="15.75" customHeight="1">
      <c r="A77" s="2337"/>
      <c r="B77" s="2337"/>
      <c r="C77" s="1315">
        <v>2019</v>
      </c>
      <c r="D77" s="1315"/>
      <c r="E77" s="1315"/>
      <c r="F77" s="1315"/>
      <c r="G77" s="1351">
        <v>0</v>
      </c>
      <c r="H77" s="1282"/>
      <c r="I77" s="1282"/>
      <c r="J77" s="1279"/>
      <c r="K77" s="1279"/>
      <c r="L77" s="1279"/>
      <c r="M77" s="1279"/>
      <c r="N77" s="1279"/>
      <c r="O77" s="1279"/>
      <c r="P77" s="1254"/>
      <c r="Q77" s="1254"/>
      <c r="R77" s="1254"/>
      <c r="S77" s="1254"/>
      <c r="T77" s="1254"/>
    </row>
    <row r="78" spans="1:20" customFormat="1" ht="17.25" customHeight="1">
      <c r="A78" s="2337"/>
      <c r="B78" s="2337"/>
      <c r="C78" s="1315">
        <v>2020</v>
      </c>
      <c r="D78" s="1315"/>
      <c r="E78" s="1315"/>
      <c r="F78" s="1315"/>
      <c r="G78" s="1351">
        <v>0</v>
      </c>
      <c r="H78" s="1282"/>
      <c r="I78" s="1282"/>
      <c r="J78" s="1279"/>
      <c r="K78" s="1279"/>
      <c r="L78" s="1279"/>
      <c r="M78" s="1279"/>
      <c r="N78" s="1279"/>
      <c r="O78" s="1279"/>
      <c r="P78" s="1254"/>
      <c r="Q78" s="1254"/>
      <c r="R78" s="1254"/>
      <c r="S78" s="1254"/>
      <c r="T78" s="1254"/>
    </row>
    <row r="79" spans="1:20" customFormat="1" ht="20.25" customHeight="1">
      <c r="A79" s="2337"/>
      <c r="B79" s="2337"/>
      <c r="C79" s="1338" t="s">
        <v>13</v>
      </c>
      <c r="D79" s="1339">
        <f>SUM(D73:D78)</f>
        <v>0</v>
      </c>
      <c r="E79" s="1339">
        <f>SUM(E73:E78)</f>
        <v>5</v>
      </c>
      <c r="F79" s="1339">
        <f>SUM(F73:F78)</f>
        <v>11</v>
      </c>
      <c r="G79" s="1353">
        <f>SUM(G72:G78)</f>
        <v>16</v>
      </c>
      <c r="H79" s="1354">
        <f t="shared" ref="H79:O79" si="2">SUM(H73:H78)</f>
        <v>0</v>
      </c>
      <c r="I79" s="1355">
        <f t="shared" si="2"/>
        <v>0</v>
      </c>
      <c r="J79" s="1341">
        <f t="shared" si="2"/>
        <v>0</v>
      </c>
      <c r="K79" s="1341">
        <f t="shared" si="2"/>
        <v>3</v>
      </c>
      <c r="L79" s="1341">
        <f t="shared" si="2"/>
        <v>0</v>
      </c>
      <c r="M79" s="1341">
        <f t="shared" si="2"/>
        <v>0</v>
      </c>
      <c r="N79" s="1341">
        <f t="shared" si="2"/>
        <v>0</v>
      </c>
      <c r="O79" s="1341">
        <f t="shared" si="2"/>
        <v>13</v>
      </c>
      <c r="P79" s="1254"/>
      <c r="Q79" s="1254"/>
      <c r="R79" s="1254"/>
      <c r="S79" s="1254"/>
      <c r="T79" s="1254"/>
    </row>
    <row r="80" spans="1:20" customFormat="1">
      <c r="A80" s="1254"/>
      <c r="B80" s="1254"/>
      <c r="C80" s="1254"/>
      <c r="D80" s="1254"/>
      <c r="E80" s="1254"/>
      <c r="F80" s="1254"/>
      <c r="G80" s="1254"/>
      <c r="H80" s="1254"/>
      <c r="I80" s="1254"/>
      <c r="J80" s="1254"/>
      <c r="K80" s="1254"/>
      <c r="L80" s="1254"/>
      <c r="M80" s="1254"/>
      <c r="N80" s="1254"/>
      <c r="O80" s="1254"/>
      <c r="P80" s="1254"/>
      <c r="Q80" s="1254"/>
      <c r="R80" s="1254"/>
      <c r="S80" s="1254"/>
      <c r="T80" s="1254"/>
    </row>
    <row r="81" spans="1:16" customFormat="1" ht="36.75" customHeight="1">
      <c r="A81" s="1356"/>
      <c r="B81" s="1343"/>
      <c r="C81" s="1357"/>
      <c r="D81" s="1358"/>
      <c r="E81" s="1319"/>
      <c r="F81" s="1319"/>
      <c r="G81" s="1319"/>
      <c r="H81" s="1319"/>
      <c r="I81" s="1319"/>
      <c r="J81" s="1319"/>
      <c r="K81" s="1319"/>
      <c r="L81" s="1254"/>
      <c r="M81" s="1254"/>
      <c r="N81" s="1254"/>
      <c r="O81" s="1254"/>
      <c r="P81" s="1254"/>
    </row>
    <row r="82" spans="1:16" customFormat="1" ht="28.5" customHeight="1">
      <c r="A82" s="1359" t="s">
        <v>55</v>
      </c>
      <c r="B82" s="1359"/>
      <c r="C82" s="1360"/>
      <c r="D82" s="1360"/>
      <c r="E82" s="1360"/>
      <c r="F82" s="1360"/>
      <c r="G82" s="1360"/>
      <c r="H82" s="1360"/>
      <c r="I82" s="1360"/>
      <c r="J82" s="1360"/>
      <c r="K82" s="1360"/>
      <c r="L82" s="1361"/>
      <c r="M82" s="1254"/>
      <c r="N82" s="1254"/>
      <c r="O82" s="1254"/>
      <c r="P82" s="1254"/>
    </row>
    <row r="83" spans="1:16" customFormat="1" ht="14.25" customHeight="1">
      <c r="A83" s="1362"/>
      <c r="B83" s="1362"/>
      <c r="C83" s="1254"/>
      <c r="D83" s="1254"/>
      <c r="E83" s="1254"/>
      <c r="F83" s="1254"/>
      <c r="G83" s="1254"/>
      <c r="H83" s="1254"/>
      <c r="I83" s="1254"/>
      <c r="J83" s="1254"/>
      <c r="K83" s="1254"/>
      <c r="L83" s="1254"/>
      <c r="M83" s="1254"/>
      <c r="N83" s="1254"/>
      <c r="O83" s="1254"/>
      <c r="P83" s="1254"/>
    </row>
    <row r="84" spans="1:16" s="1274" customFormat="1" ht="128.25" customHeight="1">
      <c r="A84" s="1363" t="s">
        <v>356</v>
      </c>
      <c r="B84" s="1364" t="s">
        <v>357</v>
      </c>
      <c r="C84" s="1365" t="s">
        <v>9</v>
      </c>
      <c r="D84" s="1366" t="s">
        <v>358</v>
      </c>
      <c r="E84" s="1367" t="s">
        <v>359</v>
      </c>
      <c r="F84" s="1365" t="s">
        <v>60</v>
      </c>
      <c r="G84" s="1365" t="s">
        <v>61</v>
      </c>
      <c r="H84" s="1365" t="s">
        <v>62</v>
      </c>
      <c r="I84" s="1365" t="s">
        <v>63</v>
      </c>
      <c r="J84" s="1365" t="s">
        <v>64</v>
      </c>
      <c r="K84" s="1365" t="s">
        <v>65</v>
      </c>
    </row>
    <row r="85" spans="1:16" customFormat="1" ht="15" customHeight="1">
      <c r="A85" s="2362" t="s">
        <v>360</v>
      </c>
      <c r="B85" s="2362"/>
      <c r="C85" s="1314">
        <v>2014</v>
      </c>
      <c r="D85" s="1368"/>
      <c r="E85" s="1369"/>
      <c r="F85" s="1275"/>
      <c r="G85" s="1275"/>
      <c r="H85" s="1275"/>
      <c r="I85" s="1275"/>
      <c r="J85" s="1275"/>
      <c r="K85" s="1275"/>
      <c r="L85" s="1254"/>
      <c r="M85" s="1254"/>
      <c r="N85" s="1254"/>
      <c r="O85" s="1254"/>
      <c r="P85" s="1254"/>
    </row>
    <row r="86" spans="1:16" customFormat="1">
      <c r="A86" s="2362"/>
      <c r="B86" s="2362"/>
      <c r="C86" s="1315">
        <v>2015</v>
      </c>
      <c r="D86" s="1370">
        <v>0</v>
      </c>
      <c r="E86" s="1335">
        <v>0</v>
      </c>
      <c r="F86" s="1279">
        <v>0</v>
      </c>
      <c r="G86" s="1279">
        <v>0</v>
      </c>
      <c r="H86" s="1279">
        <v>0</v>
      </c>
      <c r="I86" s="1279">
        <v>0</v>
      </c>
      <c r="J86" s="1279">
        <v>0</v>
      </c>
      <c r="K86" s="1279">
        <v>0</v>
      </c>
      <c r="L86" s="1254"/>
      <c r="M86" s="1254"/>
      <c r="N86" s="1254"/>
      <c r="O86" s="1254"/>
      <c r="P86" s="1254"/>
    </row>
    <row r="87" spans="1:16" customFormat="1">
      <c r="A87" s="2362"/>
      <c r="B87" s="2362"/>
      <c r="C87" s="1315">
        <v>2016</v>
      </c>
      <c r="D87" s="1370">
        <v>3</v>
      </c>
      <c r="E87" s="1371">
        <v>0</v>
      </c>
      <c r="F87" s="1337">
        <v>0</v>
      </c>
      <c r="G87" s="1337">
        <v>0</v>
      </c>
      <c r="H87" s="1337">
        <v>0</v>
      </c>
      <c r="I87" s="1337">
        <v>0</v>
      </c>
      <c r="J87" s="1337">
        <v>0</v>
      </c>
      <c r="K87" s="1337">
        <v>3</v>
      </c>
      <c r="L87" s="1254"/>
      <c r="M87" s="1254"/>
      <c r="N87" s="1254"/>
      <c r="O87" s="1254"/>
      <c r="P87" s="1254"/>
    </row>
    <row r="88" spans="1:16" customFormat="1">
      <c r="A88" s="2362"/>
      <c r="B88" s="2362"/>
      <c r="C88" s="1315">
        <v>2017</v>
      </c>
      <c r="D88" s="1370">
        <v>2</v>
      </c>
      <c r="E88" s="1335">
        <v>1</v>
      </c>
      <c r="F88" s="1279">
        <v>1</v>
      </c>
      <c r="G88" s="1279">
        <v>0</v>
      </c>
      <c r="H88" s="1279">
        <v>0</v>
      </c>
      <c r="I88" s="1279">
        <v>0</v>
      </c>
      <c r="J88" s="1279">
        <v>0</v>
      </c>
      <c r="K88" s="1279">
        <v>0</v>
      </c>
      <c r="L88" s="1254"/>
      <c r="M88" s="1254"/>
      <c r="N88" s="1254"/>
      <c r="O88" s="1254"/>
      <c r="P88" s="1254"/>
    </row>
    <row r="89" spans="1:16" customFormat="1">
      <c r="A89" s="2362"/>
      <c r="B89" s="2362"/>
      <c r="C89" s="1315">
        <v>2018</v>
      </c>
      <c r="D89" s="1370"/>
      <c r="E89" s="1335"/>
      <c r="F89" s="1279"/>
      <c r="G89" s="1279"/>
      <c r="H89" s="1279"/>
      <c r="I89" s="1279"/>
      <c r="J89" s="1279"/>
      <c r="K89" s="1279"/>
      <c r="L89" s="1254"/>
      <c r="M89" s="1254"/>
      <c r="N89" s="1254"/>
      <c r="O89" s="1254"/>
      <c r="P89" s="1254"/>
    </row>
    <row r="90" spans="1:16" customFormat="1">
      <c r="A90" s="2362"/>
      <c r="B90" s="2362"/>
      <c r="C90" s="1315">
        <v>2019</v>
      </c>
      <c r="D90" s="1370"/>
      <c r="E90" s="1335"/>
      <c r="F90" s="1279"/>
      <c r="G90" s="1279"/>
      <c r="H90" s="1279"/>
      <c r="I90" s="1279"/>
      <c r="J90" s="1279"/>
      <c r="K90" s="1279"/>
      <c r="L90" s="1254"/>
      <c r="M90" s="1254"/>
      <c r="N90" s="1254"/>
      <c r="O90" s="1254"/>
      <c r="P90" s="1254"/>
    </row>
    <row r="91" spans="1:16" customFormat="1">
      <c r="A91" s="2362"/>
      <c r="B91" s="2362"/>
      <c r="C91" s="1315">
        <v>2020</v>
      </c>
      <c r="D91" s="1370"/>
      <c r="E91" s="1335"/>
      <c r="F91" s="1279"/>
      <c r="G91" s="1279"/>
      <c r="H91" s="1279"/>
      <c r="I91" s="1279"/>
      <c r="J91" s="1279"/>
      <c r="K91" s="1279"/>
      <c r="L91" s="1254"/>
      <c r="M91" s="1254"/>
      <c r="N91" s="1254"/>
      <c r="O91" s="1254"/>
      <c r="P91" s="1254"/>
    </row>
    <row r="92" spans="1:16" customFormat="1" ht="18" customHeight="1">
      <c r="A92" s="2362"/>
      <c r="B92" s="2362"/>
      <c r="C92" s="1338" t="s">
        <v>13</v>
      </c>
      <c r="D92" s="1372">
        <v>5</v>
      </c>
      <c r="E92" s="1340">
        <v>1</v>
      </c>
      <c r="F92" s="1341">
        <v>1</v>
      </c>
      <c r="G92" s="1341">
        <v>0</v>
      </c>
      <c r="H92" s="1341">
        <v>0</v>
      </c>
      <c r="I92" s="1341">
        <v>0</v>
      </c>
      <c r="J92" s="1341">
        <v>0</v>
      </c>
      <c r="K92" s="1341">
        <v>0</v>
      </c>
      <c r="L92" s="1254"/>
      <c r="M92" s="1254"/>
      <c r="N92" s="1254"/>
      <c r="O92" s="1254"/>
      <c r="P92" s="1254"/>
    </row>
    <row r="93" spans="1:16" customFormat="1" ht="20.25" customHeight="1">
      <c r="A93" s="1254"/>
      <c r="B93" s="1254"/>
      <c r="C93" s="1254"/>
      <c r="D93" s="1254"/>
      <c r="E93" s="1254"/>
      <c r="F93" s="1254"/>
      <c r="G93" s="1254"/>
      <c r="H93" s="1254"/>
      <c r="I93" s="1254"/>
      <c r="J93" s="1254"/>
      <c r="K93" s="1254"/>
      <c r="L93" s="1254"/>
      <c r="M93" s="1254"/>
      <c r="N93" s="1254"/>
      <c r="O93" s="1254"/>
      <c r="P93" s="1254"/>
    </row>
    <row r="94" spans="1:16" customFormat="1" ht="21">
      <c r="A94" s="1373" t="s">
        <v>67</v>
      </c>
      <c r="B94" s="1373"/>
      <c r="C94" s="1374"/>
      <c r="D94" s="1374"/>
      <c r="E94" s="1374"/>
      <c r="F94" s="1374"/>
      <c r="G94" s="1374"/>
      <c r="H94" s="1374"/>
      <c r="I94" s="1374"/>
      <c r="J94" s="1374"/>
      <c r="K94" s="1374"/>
      <c r="L94" s="1374"/>
      <c r="M94" s="1374"/>
      <c r="N94" s="1375"/>
      <c r="O94" s="1375"/>
      <c r="P94" s="1375"/>
    </row>
    <row r="95" spans="1:16" s="1307" customFormat="1" ht="15" customHeight="1">
      <c r="A95" s="1376"/>
      <c r="B95" s="1376"/>
    </row>
    <row r="96" spans="1:16" customFormat="1" ht="29.25" customHeight="1">
      <c r="A96" s="2352" t="s">
        <v>68</v>
      </c>
      <c r="B96" s="2353" t="s">
        <v>361</v>
      </c>
      <c r="C96" s="2361" t="s">
        <v>9</v>
      </c>
      <c r="D96" s="2354" t="s">
        <v>70</v>
      </c>
      <c r="E96" s="2354"/>
      <c r="F96" s="2359" t="s">
        <v>71</v>
      </c>
      <c r="G96" s="2359"/>
      <c r="H96" s="2359"/>
      <c r="I96" s="2359"/>
      <c r="J96" s="2359"/>
      <c r="K96" s="2359"/>
      <c r="L96" s="2359"/>
      <c r="M96" s="2359"/>
      <c r="N96" s="1377"/>
      <c r="O96" s="1377"/>
      <c r="P96" s="1377"/>
    </row>
    <row r="97" spans="1:16" customFormat="1" ht="100.5" customHeight="1">
      <c r="A97" s="2352"/>
      <c r="B97" s="2353"/>
      <c r="C97" s="2361"/>
      <c r="D97" s="1378" t="s">
        <v>72</v>
      </c>
      <c r="E97" s="1379" t="s">
        <v>73</v>
      </c>
      <c r="F97" s="1380" t="s">
        <v>14</v>
      </c>
      <c r="G97" s="1381" t="s">
        <v>74</v>
      </c>
      <c r="H97" s="1382" t="s">
        <v>61</v>
      </c>
      <c r="I97" s="1383" t="s">
        <v>62</v>
      </c>
      <c r="J97" s="1383" t="s">
        <v>63</v>
      </c>
      <c r="K97" s="1384" t="s">
        <v>75</v>
      </c>
      <c r="L97" s="1382" t="s">
        <v>64</v>
      </c>
      <c r="M97" s="1382" t="s">
        <v>65</v>
      </c>
      <c r="N97" s="1377"/>
      <c r="O97" s="1377"/>
      <c r="P97" s="1377"/>
    </row>
    <row r="98" spans="1:16" customFormat="1" ht="17.25" customHeight="1">
      <c r="A98" s="2360" t="s">
        <v>362</v>
      </c>
      <c r="B98" s="2337"/>
      <c r="C98" s="1314">
        <v>2014</v>
      </c>
      <c r="D98" s="1276"/>
      <c r="E98" s="1275"/>
      <c r="F98" s="1385"/>
      <c r="G98" s="1314"/>
      <c r="H98" s="1314"/>
      <c r="I98" s="1314"/>
      <c r="J98" s="1314"/>
      <c r="K98" s="1314"/>
      <c r="L98" s="1314"/>
      <c r="M98" s="1314"/>
      <c r="N98" s="1377"/>
      <c r="O98" s="1377"/>
      <c r="P98" s="1377"/>
    </row>
    <row r="99" spans="1:16" customFormat="1" ht="16.5" customHeight="1">
      <c r="A99" s="2337"/>
      <c r="B99" s="2337"/>
      <c r="C99" s="1315">
        <v>2015</v>
      </c>
      <c r="D99" s="1282">
        <v>1</v>
      </c>
      <c r="E99" s="1386">
        <v>3</v>
      </c>
      <c r="F99" s="1387">
        <v>0</v>
      </c>
      <c r="G99" s="1315">
        <v>0</v>
      </c>
      <c r="H99" s="1315">
        <v>0</v>
      </c>
      <c r="I99" s="1315">
        <v>0</v>
      </c>
      <c r="J99" s="1315">
        <v>0</v>
      </c>
      <c r="K99" s="1315">
        <v>0</v>
      </c>
      <c r="L99" s="1315">
        <v>0</v>
      </c>
      <c r="M99" s="1315">
        <v>1</v>
      </c>
      <c r="N99" s="1377"/>
      <c r="O99" s="1377"/>
      <c r="P99" s="1377"/>
    </row>
    <row r="100" spans="1:16" customFormat="1" ht="16.5" customHeight="1">
      <c r="A100" s="2337"/>
      <c r="B100" s="2337"/>
      <c r="C100" s="1315">
        <v>2016</v>
      </c>
      <c r="D100" s="1282">
        <v>1</v>
      </c>
      <c r="E100" s="1279">
        <v>10</v>
      </c>
      <c r="F100" s="1387">
        <v>0</v>
      </c>
      <c r="G100" s="1315">
        <v>0</v>
      </c>
      <c r="H100" s="1315">
        <v>0</v>
      </c>
      <c r="I100" s="1315">
        <v>0</v>
      </c>
      <c r="J100" s="1315">
        <v>0</v>
      </c>
      <c r="K100" s="1315">
        <v>0</v>
      </c>
      <c r="L100" s="1315">
        <v>0</v>
      </c>
      <c r="M100" s="1315">
        <v>1</v>
      </c>
      <c r="N100" s="1377"/>
      <c r="O100" s="1377"/>
      <c r="P100" s="1377"/>
    </row>
    <row r="101" spans="1:16" customFormat="1" ht="16.5" customHeight="1">
      <c r="A101" s="2337"/>
      <c r="B101" s="2337"/>
      <c r="C101" s="1315">
        <v>2017</v>
      </c>
      <c r="D101" s="1282">
        <v>1</v>
      </c>
      <c r="E101" s="1279">
        <v>12</v>
      </c>
      <c r="F101" s="1387">
        <v>0</v>
      </c>
      <c r="G101" s="1315">
        <v>0</v>
      </c>
      <c r="H101" s="1315">
        <v>0</v>
      </c>
      <c r="I101" s="1315">
        <v>0</v>
      </c>
      <c r="J101" s="1315">
        <v>0</v>
      </c>
      <c r="K101" s="1315">
        <v>0</v>
      </c>
      <c r="L101" s="1315">
        <v>0</v>
      </c>
      <c r="M101" s="1315">
        <v>1</v>
      </c>
      <c r="N101" s="1377"/>
      <c r="O101" s="1377"/>
      <c r="P101" s="1377"/>
    </row>
    <row r="102" spans="1:16" customFormat="1" ht="15.75" customHeight="1">
      <c r="A102" s="2337"/>
      <c r="B102" s="2337"/>
      <c r="C102" s="1315">
        <v>2018</v>
      </c>
      <c r="D102" s="1282"/>
      <c r="E102" s="1279"/>
      <c r="F102" s="1387"/>
      <c r="G102" s="1315"/>
      <c r="H102" s="1315"/>
      <c r="I102" s="1315"/>
      <c r="J102" s="1315"/>
      <c r="K102" s="1315"/>
      <c r="L102" s="1315"/>
      <c r="M102" s="1315"/>
      <c r="N102" s="1377"/>
      <c r="O102" s="1377"/>
      <c r="P102" s="1377"/>
    </row>
    <row r="103" spans="1:16" customFormat="1" ht="14.25" customHeight="1">
      <c r="A103" s="2337"/>
      <c r="B103" s="2337"/>
      <c r="C103" s="1315">
        <v>2019</v>
      </c>
      <c r="D103" s="1282"/>
      <c r="E103" s="1279"/>
      <c r="F103" s="1387"/>
      <c r="G103" s="1315"/>
      <c r="H103" s="1315"/>
      <c r="I103" s="1315"/>
      <c r="J103" s="1315"/>
      <c r="K103" s="1315"/>
      <c r="L103" s="1315"/>
      <c r="M103" s="1315"/>
      <c r="N103" s="1377"/>
      <c r="O103" s="1377"/>
      <c r="P103" s="1377"/>
    </row>
    <row r="104" spans="1:16" customFormat="1" ht="14.25" customHeight="1">
      <c r="A104" s="2337"/>
      <c r="B104" s="2337"/>
      <c r="C104" s="1315">
        <v>2020</v>
      </c>
      <c r="D104" s="1282"/>
      <c r="E104" s="1279"/>
      <c r="F104" s="1387"/>
      <c r="G104" s="1315"/>
      <c r="H104" s="1315"/>
      <c r="I104" s="1315"/>
      <c r="J104" s="1315"/>
      <c r="K104" s="1315"/>
      <c r="L104" s="1315"/>
      <c r="M104" s="1315"/>
      <c r="N104" s="1377"/>
      <c r="O104" s="1377"/>
      <c r="P104" s="1377"/>
    </row>
    <row r="105" spans="1:16" customFormat="1" ht="19.5" customHeight="1">
      <c r="A105" s="2337"/>
      <c r="B105" s="2337"/>
      <c r="C105" s="1338" t="s">
        <v>13</v>
      </c>
      <c r="D105" s="1355">
        <f>SUM(D99:D104)</f>
        <v>3</v>
      </c>
      <c r="E105" s="1341">
        <f>SUM(E99:E104)</f>
        <v>25</v>
      </c>
      <c r="F105" s="1388">
        <v>0</v>
      </c>
      <c r="G105" s="1389">
        <v>0</v>
      </c>
      <c r="H105" s="1389">
        <v>0</v>
      </c>
      <c r="I105" s="1389">
        <v>0</v>
      </c>
      <c r="J105" s="1389">
        <v>0</v>
      </c>
      <c r="K105" s="1389">
        <v>0</v>
      </c>
      <c r="L105" s="1389">
        <v>0</v>
      </c>
      <c r="M105" s="1389">
        <f>SUM(M99:M104)</f>
        <v>3</v>
      </c>
      <c r="N105" s="1377"/>
      <c r="O105" s="1377"/>
      <c r="P105" s="1377"/>
    </row>
    <row r="106" spans="1:16" customFormat="1">
      <c r="A106" s="1390"/>
      <c r="B106" s="1390"/>
      <c r="C106" s="1391"/>
      <c r="D106" s="1257"/>
      <c r="E106" s="1257"/>
      <c r="F106" s="1254"/>
      <c r="G106" s="1254"/>
      <c r="H106" s="1392"/>
      <c r="I106" s="1392"/>
      <c r="J106" s="1392"/>
      <c r="K106" s="1392"/>
      <c r="L106" s="1392"/>
      <c r="M106" s="1392"/>
      <c r="N106" s="1392"/>
      <c r="O106" s="1254"/>
      <c r="P106" s="1254"/>
    </row>
    <row r="107" spans="1:16" customFormat="1" ht="15" customHeight="1">
      <c r="A107" s="2352" t="s">
        <v>363</v>
      </c>
      <c r="B107" s="2353" t="s">
        <v>361</v>
      </c>
      <c r="C107" s="2361" t="s">
        <v>9</v>
      </c>
      <c r="D107" s="2354" t="s">
        <v>78</v>
      </c>
      <c r="E107" s="2359" t="s">
        <v>79</v>
      </c>
      <c r="F107" s="2359"/>
      <c r="G107" s="2359"/>
      <c r="H107" s="2359"/>
      <c r="I107" s="2359"/>
      <c r="J107" s="2359"/>
      <c r="K107" s="2359"/>
      <c r="L107" s="2359"/>
      <c r="M107" s="1392"/>
      <c r="N107" s="1392"/>
      <c r="O107" s="1254"/>
      <c r="P107" s="1254"/>
    </row>
    <row r="108" spans="1:16" customFormat="1" ht="103.5" customHeight="1">
      <c r="A108" s="2352"/>
      <c r="B108" s="2353"/>
      <c r="C108" s="2361"/>
      <c r="D108" s="2354"/>
      <c r="E108" s="1380" t="s">
        <v>14</v>
      </c>
      <c r="F108" s="1381" t="s">
        <v>74</v>
      </c>
      <c r="G108" s="1382" t="s">
        <v>61</v>
      </c>
      <c r="H108" s="1383" t="s">
        <v>62</v>
      </c>
      <c r="I108" s="1383" t="s">
        <v>63</v>
      </c>
      <c r="J108" s="1384" t="s">
        <v>75</v>
      </c>
      <c r="K108" s="1382" t="s">
        <v>64</v>
      </c>
      <c r="L108" s="1382" t="s">
        <v>65</v>
      </c>
      <c r="M108" s="1392"/>
      <c r="N108" s="1392"/>
      <c r="O108" s="1254"/>
      <c r="P108" s="1254"/>
    </row>
    <row r="109" spans="1:16" customFormat="1">
      <c r="A109" s="2343"/>
      <c r="B109" s="2343"/>
      <c r="C109" s="1314">
        <v>2014</v>
      </c>
      <c r="D109" s="1275"/>
      <c r="E109" s="1385"/>
      <c r="F109" s="1314"/>
      <c r="G109" s="1314"/>
      <c r="H109" s="1314"/>
      <c r="I109" s="1314"/>
      <c r="J109" s="1314"/>
      <c r="K109" s="1314"/>
      <c r="L109" s="1314"/>
      <c r="M109" s="1392"/>
      <c r="N109" s="1392"/>
      <c r="O109" s="1254"/>
      <c r="P109" s="1254"/>
    </row>
    <row r="110" spans="1:16" customFormat="1">
      <c r="A110" s="2343"/>
      <c r="B110" s="2343"/>
      <c r="C110" s="1315">
        <v>2015</v>
      </c>
      <c r="D110" s="1279">
        <v>0</v>
      </c>
      <c r="E110" s="1387">
        <v>0</v>
      </c>
      <c r="F110" s="1315">
        <v>0</v>
      </c>
      <c r="G110" s="1315">
        <v>0</v>
      </c>
      <c r="H110" s="1315">
        <v>0</v>
      </c>
      <c r="I110" s="1315">
        <v>0</v>
      </c>
      <c r="J110" s="1315">
        <v>0</v>
      </c>
      <c r="K110" s="1315">
        <v>0</v>
      </c>
      <c r="L110" s="1315">
        <v>0</v>
      </c>
      <c r="M110" s="1392"/>
      <c r="N110" s="1392"/>
      <c r="O110" s="1254"/>
      <c r="P110" s="1254"/>
    </row>
    <row r="111" spans="1:16" customFormat="1">
      <c r="A111" s="2343"/>
      <c r="B111" s="2343"/>
      <c r="C111" s="1315">
        <v>2016</v>
      </c>
      <c r="D111" s="1279">
        <v>0</v>
      </c>
      <c r="E111" s="1387">
        <v>0</v>
      </c>
      <c r="F111" s="1315">
        <v>0</v>
      </c>
      <c r="G111" s="1315">
        <v>0</v>
      </c>
      <c r="H111" s="1315">
        <v>0</v>
      </c>
      <c r="I111" s="1315">
        <v>0</v>
      </c>
      <c r="J111" s="1315">
        <v>0</v>
      </c>
      <c r="K111" s="1315">
        <v>0</v>
      </c>
      <c r="L111" s="1315">
        <v>0</v>
      </c>
      <c r="M111" s="1392"/>
      <c r="N111" s="1392"/>
      <c r="O111" s="1254"/>
      <c r="P111" s="1254"/>
    </row>
    <row r="112" spans="1:16" customFormat="1">
      <c r="A112" s="2343"/>
      <c r="B112" s="2343"/>
      <c r="C112" s="1315">
        <v>2017</v>
      </c>
      <c r="D112" s="1279"/>
      <c r="E112" s="1387"/>
      <c r="F112" s="1315"/>
      <c r="G112" s="1315"/>
      <c r="H112" s="1315"/>
      <c r="I112" s="1315"/>
      <c r="J112" s="1315"/>
      <c r="K112" s="1315"/>
      <c r="L112" s="1315"/>
      <c r="M112" s="1392"/>
      <c r="N112" s="1392"/>
      <c r="O112" s="1254"/>
      <c r="P112" s="1254"/>
    </row>
    <row r="113" spans="1:14" customFormat="1">
      <c r="A113" s="2343"/>
      <c r="B113" s="2343"/>
      <c r="C113" s="1315">
        <v>2018</v>
      </c>
      <c r="D113" s="1279"/>
      <c r="E113" s="1387"/>
      <c r="F113" s="1315"/>
      <c r="G113" s="1315"/>
      <c r="H113" s="1315"/>
      <c r="I113" s="1315"/>
      <c r="J113" s="1315"/>
      <c r="K113" s="1315"/>
      <c r="L113" s="1315"/>
      <c r="M113" s="1392"/>
      <c r="N113" s="1392"/>
    </row>
    <row r="114" spans="1:14" customFormat="1">
      <c r="A114" s="2343"/>
      <c r="B114" s="2343"/>
      <c r="C114" s="1315">
        <v>2019</v>
      </c>
      <c r="D114" s="1279"/>
      <c r="E114" s="1387"/>
      <c r="F114" s="1315"/>
      <c r="G114" s="1315"/>
      <c r="H114" s="1315"/>
      <c r="I114" s="1315"/>
      <c r="J114" s="1315"/>
      <c r="K114" s="1315"/>
      <c r="L114" s="1315"/>
      <c r="M114" s="1392"/>
      <c r="N114" s="1392"/>
    </row>
    <row r="115" spans="1:14" customFormat="1">
      <c r="A115" s="2343"/>
      <c r="B115" s="2343"/>
      <c r="C115" s="1315">
        <v>2020</v>
      </c>
      <c r="D115" s="1279"/>
      <c r="E115" s="1387"/>
      <c r="F115" s="1315"/>
      <c r="G115" s="1315"/>
      <c r="H115" s="1315"/>
      <c r="I115" s="1315"/>
      <c r="J115" s="1315"/>
      <c r="K115" s="1315"/>
      <c r="L115" s="1315"/>
      <c r="M115" s="1392"/>
      <c r="N115" s="1392"/>
    </row>
    <row r="116" spans="1:14" customFormat="1" ht="25.5" customHeight="1">
      <c r="A116" s="2343"/>
      <c r="B116" s="2343"/>
      <c r="C116" s="1338" t="s">
        <v>13</v>
      </c>
      <c r="D116" s="1341">
        <v>0</v>
      </c>
      <c r="E116" s="1388">
        <v>0</v>
      </c>
      <c r="F116" s="1389">
        <v>0</v>
      </c>
      <c r="G116" s="1389">
        <v>0</v>
      </c>
      <c r="H116" s="1389">
        <v>0</v>
      </c>
      <c r="I116" s="1389">
        <v>0</v>
      </c>
      <c r="J116" s="1389"/>
      <c r="K116" s="1389">
        <v>0</v>
      </c>
      <c r="L116" s="1389">
        <v>0</v>
      </c>
      <c r="M116" s="1392"/>
      <c r="N116" s="1392"/>
    </row>
    <row r="117" spans="1:14" customFormat="1" ht="21">
      <c r="A117" s="1376"/>
      <c r="B117" s="1393"/>
      <c r="C117" s="1307"/>
      <c r="D117" s="1307"/>
      <c r="E117" s="1307"/>
      <c r="F117" s="1307"/>
      <c r="G117" s="1307"/>
      <c r="H117" s="1307"/>
      <c r="I117" s="1307"/>
      <c r="J117" s="1307"/>
      <c r="K117" s="1307"/>
      <c r="L117" s="1307"/>
      <c r="M117" s="1392"/>
      <c r="N117" s="1392"/>
    </row>
    <row r="118" spans="1:14" customFormat="1" ht="15" customHeight="1">
      <c r="A118" s="2352" t="s">
        <v>81</v>
      </c>
      <c r="B118" s="2353" t="s">
        <v>361</v>
      </c>
      <c r="C118" s="2361" t="s">
        <v>9</v>
      </c>
      <c r="D118" s="2354" t="s">
        <v>82</v>
      </c>
      <c r="E118" s="2359" t="s">
        <v>79</v>
      </c>
      <c r="F118" s="2359"/>
      <c r="G118" s="2359"/>
      <c r="H118" s="2359"/>
      <c r="I118" s="2359"/>
      <c r="J118" s="2359"/>
      <c r="K118" s="2359"/>
      <c r="L118" s="2359"/>
      <c r="M118" s="1392"/>
      <c r="N118" s="1392"/>
    </row>
    <row r="119" spans="1:14" customFormat="1" ht="120.75" customHeight="1">
      <c r="A119" s="2352"/>
      <c r="B119" s="2353"/>
      <c r="C119" s="2361"/>
      <c r="D119" s="2354"/>
      <c r="E119" s="1380" t="s">
        <v>14</v>
      </c>
      <c r="F119" s="1381" t="s">
        <v>74</v>
      </c>
      <c r="G119" s="1382" t="s">
        <v>61</v>
      </c>
      <c r="H119" s="1383" t="s">
        <v>62</v>
      </c>
      <c r="I119" s="1383" t="s">
        <v>63</v>
      </c>
      <c r="J119" s="1384" t="s">
        <v>75</v>
      </c>
      <c r="K119" s="1382" t="s">
        <v>64</v>
      </c>
      <c r="L119" s="1382" t="s">
        <v>65</v>
      </c>
      <c r="M119" s="1392"/>
      <c r="N119" s="1392"/>
    </row>
    <row r="120" spans="1:14" customFormat="1">
      <c r="A120" s="2343"/>
      <c r="B120" s="2343"/>
      <c r="C120" s="1314">
        <v>2014</v>
      </c>
      <c r="D120" s="1275"/>
      <c r="E120" s="1385"/>
      <c r="F120" s="1314"/>
      <c r="G120" s="1314"/>
      <c r="H120" s="1314"/>
      <c r="I120" s="1314"/>
      <c r="J120" s="1314"/>
      <c r="K120" s="1314"/>
      <c r="L120" s="1314"/>
      <c r="M120" s="1392"/>
      <c r="N120" s="1392"/>
    </row>
    <row r="121" spans="1:14" customFormat="1">
      <c r="A121" s="2343"/>
      <c r="B121" s="2343"/>
      <c r="C121" s="1315">
        <v>2015</v>
      </c>
      <c r="D121" s="1279">
        <v>0</v>
      </c>
      <c r="E121" s="1387">
        <v>0</v>
      </c>
      <c r="F121" s="1315">
        <v>0</v>
      </c>
      <c r="G121" s="1315">
        <v>0</v>
      </c>
      <c r="H121" s="1315">
        <v>0</v>
      </c>
      <c r="I121" s="1315">
        <v>0</v>
      </c>
      <c r="J121" s="1315">
        <v>0</v>
      </c>
      <c r="K121" s="1315">
        <v>0</v>
      </c>
      <c r="L121" s="1315">
        <v>0</v>
      </c>
      <c r="M121" s="1392"/>
      <c r="N121" s="1392"/>
    </row>
    <row r="122" spans="1:14" customFormat="1">
      <c r="A122" s="2343"/>
      <c r="B122" s="2343"/>
      <c r="C122" s="1315">
        <v>2016</v>
      </c>
      <c r="D122" s="1279">
        <v>0</v>
      </c>
      <c r="E122" s="1387">
        <v>0</v>
      </c>
      <c r="F122" s="1315">
        <v>0</v>
      </c>
      <c r="G122" s="1315">
        <v>0</v>
      </c>
      <c r="H122" s="1315">
        <v>0</v>
      </c>
      <c r="I122" s="1315">
        <v>0</v>
      </c>
      <c r="J122" s="1315">
        <v>0</v>
      </c>
      <c r="K122" s="1315">
        <v>0</v>
      </c>
      <c r="L122" s="1315">
        <v>0</v>
      </c>
      <c r="M122" s="1392"/>
      <c r="N122" s="1392"/>
    </row>
    <row r="123" spans="1:14" customFormat="1">
      <c r="A123" s="2343"/>
      <c r="B123" s="2343"/>
      <c r="C123" s="1315">
        <v>2017</v>
      </c>
      <c r="D123" s="1279"/>
      <c r="E123" s="1387"/>
      <c r="F123" s="1315"/>
      <c r="G123" s="1315"/>
      <c r="H123" s="1315"/>
      <c r="I123" s="1315"/>
      <c r="J123" s="1315"/>
      <c r="K123" s="1315"/>
      <c r="L123" s="1315"/>
      <c r="M123" s="1392"/>
      <c r="N123" s="1392"/>
    </row>
    <row r="124" spans="1:14" customFormat="1">
      <c r="A124" s="2343"/>
      <c r="B124" s="2343"/>
      <c r="C124" s="1315">
        <v>2018</v>
      </c>
      <c r="D124" s="1279"/>
      <c r="E124" s="1387"/>
      <c r="F124" s="1315"/>
      <c r="G124" s="1315"/>
      <c r="H124" s="1315"/>
      <c r="I124" s="1315"/>
      <c r="J124" s="1315"/>
      <c r="K124" s="1315"/>
      <c r="L124" s="1315"/>
      <c r="M124" s="1392"/>
      <c r="N124" s="1392"/>
    </row>
    <row r="125" spans="1:14" customFormat="1">
      <c r="A125" s="2343"/>
      <c r="B125" s="2343"/>
      <c r="C125" s="1315">
        <v>2019</v>
      </c>
      <c r="D125" s="1279"/>
      <c r="E125" s="1387"/>
      <c r="F125" s="1315"/>
      <c r="G125" s="1315"/>
      <c r="H125" s="1315"/>
      <c r="I125" s="1315"/>
      <c r="J125" s="1315"/>
      <c r="K125" s="1315"/>
      <c r="L125" s="1315"/>
      <c r="M125" s="1392"/>
      <c r="N125" s="1392"/>
    </row>
    <row r="126" spans="1:14" customFormat="1">
      <c r="A126" s="2343"/>
      <c r="B126" s="2343"/>
      <c r="C126" s="1315">
        <v>2020</v>
      </c>
      <c r="D126" s="1279"/>
      <c r="E126" s="1387"/>
      <c r="F126" s="1315"/>
      <c r="G126" s="1315"/>
      <c r="H126" s="1315"/>
      <c r="I126" s="1315"/>
      <c r="J126" s="1315"/>
      <c r="K126" s="1315"/>
      <c r="L126" s="1315"/>
      <c r="M126" s="1392"/>
      <c r="N126" s="1392"/>
    </row>
    <row r="127" spans="1:14" customFormat="1">
      <c r="A127" s="2343"/>
      <c r="B127" s="2343"/>
      <c r="C127" s="1338" t="s">
        <v>13</v>
      </c>
      <c r="D127" s="1341">
        <v>0</v>
      </c>
      <c r="E127" s="1388">
        <v>0</v>
      </c>
      <c r="F127" s="1389">
        <v>0</v>
      </c>
      <c r="G127" s="1389">
        <v>0</v>
      </c>
      <c r="H127" s="1389">
        <v>0</v>
      </c>
      <c r="I127" s="1389">
        <v>0</v>
      </c>
      <c r="J127" s="1389"/>
      <c r="K127" s="1389">
        <v>0</v>
      </c>
      <c r="L127" s="1389">
        <v>0</v>
      </c>
      <c r="M127" s="1392"/>
      <c r="N127" s="1392"/>
    </row>
    <row r="128" spans="1:14" customFormat="1">
      <c r="A128" s="1390"/>
      <c r="B128" s="1390"/>
      <c r="C128" s="1391"/>
      <c r="D128" s="1257"/>
      <c r="E128" s="1257"/>
      <c r="F128" s="1254"/>
      <c r="G128" s="1254"/>
      <c r="H128" s="1392"/>
      <c r="I128" s="1392"/>
      <c r="J128" s="1392"/>
      <c r="K128" s="1392"/>
      <c r="L128" s="1392"/>
      <c r="M128" s="1392"/>
      <c r="N128" s="1392"/>
    </row>
    <row r="129" spans="1:16" customFormat="1" ht="15" customHeight="1">
      <c r="A129" s="2352" t="s">
        <v>84</v>
      </c>
      <c r="B129" s="2353" t="s">
        <v>361</v>
      </c>
      <c r="C129" s="1394" t="s">
        <v>9</v>
      </c>
      <c r="D129" s="2354" t="s">
        <v>85</v>
      </c>
      <c r="E129" s="2354"/>
      <c r="F129" s="2354"/>
      <c r="G129" s="2354"/>
      <c r="H129" s="1392"/>
      <c r="I129" s="1392"/>
      <c r="J129" s="1392"/>
      <c r="K129" s="1392"/>
      <c r="L129" s="1392"/>
      <c r="M129" s="1392"/>
      <c r="N129" s="1392"/>
      <c r="O129" s="1254"/>
      <c r="P129" s="1254"/>
    </row>
    <row r="130" spans="1:16" customFormat="1" ht="77.25" customHeight="1">
      <c r="A130" s="2352"/>
      <c r="B130" s="2353"/>
      <c r="C130" s="1395"/>
      <c r="D130" s="1378" t="s">
        <v>86</v>
      </c>
      <c r="E130" s="1379" t="s">
        <v>87</v>
      </c>
      <c r="F130" s="1379" t="s">
        <v>88</v>
      </c>
      <c r="G130" s="1396" t="s">
        <v>13</v>
      </c>
      <c r="H130" s="1392"/>
      <c r="I130" s="1392"/>
      <c r="J130" s="1392"/>
      <c r="K130" s="1392"/>
      <c r="L130" s="1392"/>
      <c r="M130" s="1392"/>
      <c r="N130" s="1392"/>
      <c r="O130" s="1254"/>
      <c r="P130" s="1254"/>
    </row>
    <row r="131" spans="1:16" customFormat="1" ht="15" customHeight="1">
      <c r="A131" s="2355" t="s">
        <v>364</v>
      </c>
      <c r="B131" s="2356"/>
      <c r="C131" s="1314">
        <v>2015</v>
      </c>
      <c r="D131" s="1397">
        <v>48</v>
      </c>
      <c r="E131" s="1398">
        <v>0</v>
      </c>
      <c r="F131" s="1398">
        <v>0</v>
      </c>
      <c r="G131" s="1399">
        <f>SUM(D131:F131)</f>
        <v>48</v>
      </c>
      <c r="H131" s="1392"/>
      <c r="I131" s="1392"/>
      <c r="J131" s="1392"/>
      <c r="K131" s="1392"/>
      <c r="L131" s="1392"/>
      <c r="M131" s="1392"/>
      <c r="N131" s="1392"/>
      <c r="O131" s="1254"/>
      <c r="P131" s="1254"/>
    </row>
    <row r="132" spans="1:16" customFormat="1">
      <c r="A132" s="2355"/>
      <c r="B132" s="2356"/>
      <c r="C132" s="1315">
        <v>2016</v>
      </c>
      <c r="D132" s="1282">
        <v>105</v>
      </c>
      <c r="E132" s="1279">
        <v>0</v>
      </c>
      <c r="F132" s="1279">
        <v>0</v>
      </c>
      <c r="G132" s="1400">
        <f>SUM(D132:F132)</f>
        <v>105</v>
      </c>
      <c r="H132" s="1392"/>
      <c r="I132" s="1392"/>
      <c r="J132" s="1392"/>
      <c r="K132" s="1392"/>
      <c r="L132" s="1392"/>
      <c r="M132" s="1392"/>
      <c r="N132" s="1392"/>
      <c r="O132" s="1254"/>
      <c r="P132" s="1254"/>
    </row>
    <row r="133" spans="1:16" customFormat="1">
      <c r="A133" s="2355"/>
      <c r="B133" s="2356"/>
      <c r="C133" s="1315">
        <v>2017</v>
      </c>
      <c r="D133" s="1282">
        <v>111</v>
      </c>
      <c r="E133" s="1279">
        <v>0</v>
      </c>
      <c r="F133" s="1279">
        <v>0</v>
      </c>
      <c r="G133" s="1400">
        <v>111</v>
      </c>
      <c r="H133" s="1392"/>
      <c r="I133" s="1392"/>
      <c r="J133" s="1392"/>
      <c r="K133" s="1392"/>
      <c r="L133" s="1392"/>
      <c r="M133" s="1392"/>
      <c r="N133" s="1392"/>
      <c r="O133" s="1254"/>
      <c r="P133" s="1254"/>
    </row>
    <row r="134" spans="1:16" customFormat="1">
      <c r="A134" s="2355"/>
      <c r="B134" s="2356"/>
      <c r="C134" s="1315">
        <v>2018</v>
      </c>
      <c r="D134" s="1282"/>
      <c r="E134" s="1279"/>
      <c r="F134" s="1279"/>
      <c r="G134" s="1400">
        <v>0</v>
      </c>
      <c r="H134" s="1392"/>
      <c r="I134" s="1392"/>
      <c r="J134" s="1392"/>
      <c r="K134" s="1392"/>
      <c r="L134" s="1392"/>
      <c r="M134" s="1392"/>
      <c r="N134" s="1392"/>
      <c r="O134" s="1254"/>
      <c r="P134" s="1254"/>
    </row>
    <row r="135" spans="1:16" customFormat="1">
      <c r="A135" s="2355"/>
      <c r="B135" s="2356"/>
      <c r="C135" s="1315">
        <v>2019</v>
      </c>
      <c r="D135" s="1282"/>
      <c r="E135" s="1279"/>
      <c r="F135" s="1279"/>
      <c r="G135" s="1400">
        <v>0</v>
      </c>
      <c r="H135" s="1392"/>
      <c r="I135" s="1392"/>
      <c r="J135" s="1392"/>
      <c r="K135" s="1392"/>
      <c r="L135" s="1392"/>
      <c r="M135" s="1392"/>
      <c r="N135" s="1392"/>
      <c r="O135" s="1254"/>
      <c r="P135" s="1254"/>
    </row>
    <row r="136" spans="1:16" customFormat="1">
      <c r="A136" s="2355"/>
      <c r="B136" s="2356"/>
      <c r="C136" s="1315">
        <v>2020</v>
      </c>
      <c r="D136" s="1282"/>
      <c r="E136" s="1279"/>
      <c r="F136" s="1279"/>
      <c r="G136" s="1400">
        <v>0</v>
      </c>
      <c r="H136" s="1392"/>
      <c r="I136" s="1392"/>
      <c r="J136" s="1392"/>
      <c r="K136" s="1392"/>
      <c r="L136" s="1392"/>
      <c r="M136" s="1392"/>
      <c r="N136" s="1392"/>
      <c r="O136" s="1254"/>
      <c r="P136" s="1254"/>
    </row>
    <row r="137" spans="1:16" customFormat="1" ht="17.25" customHeight="1">
      <c r="A137" s="2357"/>
      <c r="B137" s="2358"/>
      <c r="C137" s="1338" t="s">
        <v>13</v>
      </c>
      <c r="D137" s="1355">
        <f>SUM(D131:D136)</f>
        <v>264</v>
      </c>
      <c r="E137" s="1355">
        <v>0</v>
      </c>
      <c r="F137" s="1355">
        <v>0</v>
      </c>
      <c r="G137" s="1401">
        <f>SUM(G131:G136)</f>
        <v>264</v>
      </c>
      <c r="H137" s="1392"/>
      <c r="I137" s="1392"/>
      <c r="J137" s="1392"/>
      <c r="K137" s="1392"/>
      <c r="L137" s="1392"/>
      <c r="M137" s="1392"/>
      <c r="N137" s="1392"/>
      <c r="O137" s="1254"/>
      <c r="P137" s="1254"/>
    </row>
    <row r="138" spans="1:16" customFormat="1">
      <c r="A138" s="1390"/>
      <c r="B138" s="1390"/>
      <c r="C138" s="1391"/>
      <c r="D138" s="1257"/>
      <c r="E138" s="1257"/>
      <c r="F138" s="1254"/>
      <c r="G138" s="1254"/>
      <c r="H138" s="1392"/>
      <c r="I138" s="1392"/>
      <c r="J138" s="1392"/>
      <c r="K138" s="1392"/>
      <c r="L138" s="1392"/>
      <c r="M138" s="1392"/>
      <c r="N138" s="1392"/>
      <c r="O138" s="1254"/>
      <c r="P138" s="1254"/>
    </row>
    <row r="139" spans="1:16" s="1307" customFormat="1" ht="33" customHeight="1">
      <c r="A139" s="1402"/>
      <c r="B139" s="1321"/>
      <c r="C139" s="1322"/>
      <c r="D139" s="1278"/>
      <c r="E139" s="1278"/>
      <c r="F139" s="1278"/>
      <c r="G139" s="1278"/>
      <c r="H139" s="1278"/>
      <c r="I139" s="1403"/>
      <c r="J139" s="1404"/>
      <c r="K139" s="1404"/>
      <c r="L139" s="1404"/>
      <c r="M139" s="1404"/>
      <c r="N139" s="1404"/>
      <c r="O139" s="1404"/>
      <c r="P139" s="1404"/>
    </row>
    <row r="140" spans="1:16" customFormat="1" ht="21">
      <c r="A140" s="1405" t="s">
        <v>90</v>
      </c>
      <c r="B140" s="1405"/>
      <c r="C140" s="1406"/>
      <c r="D140" s="1406"/>
      <c r="E140" s="1406"/>
      <c r="F140" s="1406"/>
      <c r="G140" s="1406"/>
      <c r="H140" s="1406"/>
      <c r="I140" s="1406"/>
      <c r="J140" s="1406"/>
      <c r="K140" s="1406"/>
      <c r="L140" s="1406"/>
      <c r="M140" s="1406"/>
      <c r="N140" s="1406"/>
      <c r="O140" s="1375"/>
      <c r="P140" s="1375"/>
    </row>
    <row r="141" spans="1:16" customFormat="1" ht="21.75" customHeight="1">
      <c r="A141" s="1407"/>
      <c r="B141" s="1343"/>
      <c r="C141" s="1357"/>
      <c r="D141" s="1319"/>
      <c r="E141" s="1319"/>
      <c r="F141" s="1319"/>
      <c r="G141" s="1319"/>
      <c r="H141" s="1319"/>
      <c r="I141" s="1377"/>
      <c r="J141" s="1377"/>
      <c r="K141" s="1377"/>
      <c r="L141" s="1377"/>
      <c r="M141" s="1377"/>
      <c r="N141" s="1377"/>
      <c r="O141" s="1377"/>
      <c r="P141" s="1377"/>
    </row>
    <row r="142" spans="1:16" customFormat="1" ht="21.75" customHeight="1">
      <c r="A142" s="2350" t="s">
        <v>91</v>
      </c>
      <c r="B142" s="2348" t="s">
        <v>361</v>
      </c>
      <c r="C142" s="2351" t="s">
        <v>9</v>
      </c>
      <c r="D142" s="2351" t="s">
        <v>92</v>
      </c>
      <c r="E142" s="2351"/>
      <c r="F142" s="2351"/>
      <c r="G142" s="2351"/>
      <c r="H142" s="2351"/>
      <c r="I142" s="2351"/>
      <c r="J142" s="2346" t="s">
        <v>93</v>
      </c>
      <c r="K142" s="2346"/>
      <c r="L142" s="2346"/>
      <c r="M142" s="2346"/>
      <c r="N142" s="2346"/>
      <c r="O142" s="1377"/>
      <c r="P142" s="1377"/>
    </row>
    <row r="143" spans="1:16" customFormat="1" ht="113.25" customHeight="1">
      <c r="A143" s="2350"/>
      <c r="B143" s="2348"/>
      <c r="C143" s="2351"/>
      <c r="D143" s="1408" t="s">
        <v>94</v>
      </c>
      <c r="E143" s="1409" t="s">
        <v>95</v>
      </c>
      <c r="F143" s="1410" t="s">
        <v>96</v>
      </c>
      <c r="G143" s="1410" t="s">
        <v>97</v>
      </c>
      <c r="H143" s="1410" t="s">
        <v>98</v>
      </c>
      <c r="I143" s="1410" t="s">
        <v>99</v>
      </c>
      <c r="J143" s="1411" t="s">
        <v>100</v>
      </c>
      <c r="K143" s="1412" t="s">
        <v>101</v>
      </c>
      <c r="L143" s="1411" t="s">
        <v>102</v>
      </c>
      <c r="M143" s="1412" t="s">
        <v>101</v>
      </c>
      <c r="N143" s="1413" t="s">
        <v>103</v>
      </c>
      <c r="O143" s="1377"/>
      <c r="P143" s="1377"/>
    </row>
    <row r="144" spans="1:16" customFormat="1" ht="19.5" customHeight="1">
      <c r="A144" s="2343"/>
      <c r="B144" s="2343"/>
      <c r="C144" s="1314">
        <v>2014</v>
      </c>
      <c r="D144" s="1276"/>
      <c r="E144" s="1276"/>
      <c r="F144" s="1275"/>
      <c r="G144" s="1314"/>
      <c r="H144" s="1314"/>
      <c r="I144" s="1389">
        <v>0</v>
      </c>
      <c r="J144" s="1414"/>
      <c r="K144" s="1314"/>
      <c r="L144" s="1414"/>
      <c r="M144" s="1314"/>
      <c r="N144" s="1415"/>
      <c r="O144" s="1377"/>
      <c r="P144" s="1377"/>
    </row>
    <row r="145" spans="1:16" customFormat="1" ht="19.5" customHeight="1">
      <c r="A145" s="2343"/>
      <c r="B145" s="2343"/>
      <c r="C145" s="1315">
        <v>2015</v>
      </c>
      <c r="D145" s="1282">
        <v>0</v>
      </c>
      <c r="E145" s="1282">
        <v>0</v>
      </c>
      <c r="F145" s="1279">
        <v>0</v>
      </c>
      <c r="G145" s="1315">
        <v>0</v>
      </c>
      <c r="H145" s="1315">
        <v>0</v>
      </c>
      <c r="I145" s="1389">
        <v>0</v>
      </c>
      <c r="J145" s="1416">
        <v>0</v>
      </c>
      <c r="K145" s="1315">
        <v>0</v>
      </c>
      <c r="L145" s="1416">
        <v>0</v>
      </c>
      <c r="M145" s="1315">
        <v>0</v>
      </c>
      <c r="N145" s="1417">
        <v>0</v>
      </c>
      <c r="O145" s="1377"/>
      <c r="P145" s="1377"/>
    </row>
    <row r="146" spans="1:16" customFormat="1" ht="20.25" customHeight="1">
      <c r="A146" s="2343"/>
      <c r="B146" s="2343"/>
      <c r="C146" s="1315">
        <v>2016</v>
      </c>
      <c r="D146" s="1282">
        <v>0</v>
      </c>
      <c r="E146" s="1282">
        <v>0</v>
      </c>
      <c r="F146" s="1279">
        <v>0</v>
      </c>
      <c r="G146" s="1315">
        <v>0</v>
      </c>
      <c r="H146" s="1315">
        <v>0</v>
      </c>
      <c r="I146" s="1389">
        <v>0</v>
      </c>
      <c r="J146" s="1416">
        <v>0</v>
      </c>
      <c r="K146" s="1315">
        <v>0</v>
      </c>
      <c r="L146" s="1416">
        <v>0</v>
      </c>
      <c r="M146" s="1315">
        <v>0</v>
      </c>
      <c r="N146" s="1417">
        <v>0</v>
      </c>
      <c r="O146" s="1377"/>
      <c r="P146" s="1377"/>
    </row>
    <row r="147" spans="1:16" customFormat="1" ht="17.25" customHeight="1">
      <c r="A147" s="2343"/>
      <c r="B147" s="2343"/>
      <c r="C147" s="1315">
        <v>2017</v>
      </c>
      <c r="D147" s="1282"/>
      <c r="E147" s="1282"/>
      <c r="F147" s="1279"/>
      <c r="G147" s="1315"/>
      <c r="H147" s="1315"/>
      <c r="I147" s="1389">
        <v>0</v>
      </c>
      <c r="J147" s="1416"/>
      <c r="K147" s="1315"/>
      <c r="L147" s="1416"/>
      <c r="M147" s="1315"/>
      <c r="N147" s="1417"/>
      <c r="O147" s="1377"/>
      <c r="P147" s="1377"/>
    </row>
    <row r="148" spans="1:16" customFormat="1" ht="19.5" customHeight="1">
      <c r="A148" s="2343"/>
      <c r="B148" s="2343"/>
      <c r="C148" s="1315">
        <v>2018</v>
      </c>
      <c r="D148" s="1282"/>
      <c r="E148" s="1282"/>
      <c r="F148" s="1279"/>
      <c r="G148" s="1315"/>
      <c r="H148" s="1315"/>
      <c r="I148" s="1389">
        <v>0</v>
      </c>
      <c r="J148" s="1416"/>
      <c r="K148" s="1315"/>
      <c r="L148" s="1416"/>
      <c r="M148" s="1315"/>
      <c r="N148" s="1417"/>
      <c r="O148" s="1377"/>
      <c r="P148" s="1377"/>
    </row>
    <row r="149" spans="1:16" customFormat="1" ht="19.5" customHeight="1">
      <c r="A149" s="2343"/>
      <c r="B149" s="2343"/>
      <c r="C149" s="1315">
        <v>2019</v>
      </c>
      <c r="D149" s="1282"/>
      <c r="E149" s="1282"/>
      <c r="F149" s="1279"/>
      <c r="G149" s="1315"/>
      <c r="H149" s="1315"/>
      <c r="I149" s="1389">
        <v>0</v>
      </c>
      <c r="J149" s="1416"/>
      <c r="K149" s="1315"/>
      <c r="L149" s="1416"/>
      <c r="M149" s="1315"/>
      <c r="N149" s="1417"/>
      <c r="O149" s="1377"/>
      <c r="P149" s="1377"/>
    </row>
    <row r="150" spans="1:16" customFormat="1" ht="18.75" customHeight="1">
      <c r="A150" s="2343"/>
      <c r="B150" s="2343"/>
      <c r="C150" s="1315">
        <v>2020</v>
      </c>
      <c r="D150" s="1282"/>
      <c r="E150" s="1282"/>
      <c r="F150" s="1279"/>
      <c r="G150" s="1315"/>
      <c r="H150" s="1315"/>
      <c r="I150" s="1389">
        <v>0</v>
      </c>
      <c r="J150" s="1416"/>
      <c r="K150" s="1315"/>
      <c r="L150" s="1416"/>
      <c r="M150" s="1315"/>
      <c r="N150" s="1417"/>
      <c r="O150" s="1377"/>
      <c r="P150" s="1377"/>
    </row>
    <row r="151" spans="1:16" customFormat="1" ht="18" customHeight="1">
      <c r="A151" s="2343"/>
      <c r="B151" s="2343"/>
      <c r="C151" s="1338" t="s">
        <v>13</v>
      </c>
      <c r="D151" s="1355">
        <v>0</v>
      </c>
      <c r="E151" s="1355">
        <v>0</v>
      </c>
      <c r="F151" s="1355">
        <v>0</v>
      </c>
      <c r="G151" s="1355">
        <v>0</v>
      </c>
      <c r="H151" s="1355">
        <v>0</v>
      </c>
      <c r="I151" s="1341">
        <v>0</v>
      </c>
      <c r="J151" s="1418">
        <v>0</v>
      </c>
      <c r="K151" s="1389">
        <v>0</v>
      </c>
      <c r="L151" s="1418">
        <v>0</v>
      </c>
      <c r="M151" s="1389">
        <v>0</v>
      </c>
      <c r="N151" s="1419">
        <v>0</v>
      </c>
      <c r="O151" s="1377"/>
      <c r="P151" s="1377"/>
    </row>
    <row r="152" spans="1:16" customFormat="1" ht="27" customHeight="1">
      <c r="A152" s="1254"/>
      <c r="B152" s="1420"/>
      <c r="C152" s="1254"/>
      <c r="D152" s="1254"/>
      <c r="E152" s="1254"/>
      <c r="F152" s="1254"/>
      <c r="G152" s="1254"/>
      <c r="H152" s="1254"/>
      <c r="I152" s="1254"/>
      <c r="J152" s="1254"/>
      <c r="K152" s="1254"/>
      <c r="L152" s="1254"/>
      <c r="M152" s="1254"/>
      <c r="N152" s="1254"/>
      <c r="O152" s="1377"/>
      <c r="P152" s="1377"/>
    </row>
    <row r="153" spans="1:16" customFormat="1" ht="35.25" customHeight="1">
      <c r="A153" s="2347" t="s">
        <v>105</v>
      </c>
      <c r="B153" s="2348" t="s">
        <v>361</v>
      </c>
      <c r="C153" s="2346" t="s">
        <v>9</v>
      </c>
      <c r="D153" s="2349" t="s">
        <v>106</v>
      </c>
      <c r="E153" s="2349"/>
      <c r="F153" s="2349"/>
      <c r="G153" s="2349"/>
      <c r="H153" s="2349" t="s">
        <v>107</v>
      </c>
      <c r="I153" s="2349"/>
      <c r="J153" s="2349"/>
      <c r="K153" s="1274"/>
      <c r="L153" s="1274"/>
      <c r="M153" s="1274"/>
      <c r="N153" s="1274"/>
      <c r="O153" s="1377"/>
      <c r="P153" s="1377"/>
    </row>
    <row r="154" spans="1:16" customFormat="1" ht="49.5" customHeight="1">
      <c r="A154" s="2347"/>
      <c r="B154" s="2348"/>
      <c r="C154" s="2346"/>
      <c r="D154" s="1421" t="s">
        <v>108</v>
      </c>
      <c r="E154" s="1422" t="s">
        <v>365</v>
      </c>
      <c r="F154" s="1423" t="s">
        <v>110</v>
      </c>
      <c r="G154" s="1424" t="s">
        <v>111</v>
      </c>
      <c r="H154" s="1421" t="s">
        <v>112</v>
      </c>
      <c r="I154" s="1422" t="s">
        <v>113</v>
      </c>
      <c r="J154" s="1422" t="s">
        <v>103</v>
      </c>
      <c r="K154" s="1274"/>
      <c r="L154" s="1274"/>
      <c r="M154" s="1274"/>
      <c r="N154" s="1274"/>
      <c r="O154" s="1377"/>
      <c r="P154" s="1377"/>
    </row>
    <row r="155" spans="1:16" customFormat="1" ht="18.75" customHeight="1">
      <c r="A155" s="2343"/>
      <c r="B155" s="2343"/>
      <c r="C155" s="1425">
        <v>2014</v>
      </c>
      <c r="D155" s="1414"/>
      <c r="E155" s="1314"/>
      <c r="F155" s="1314"/>
      <c r="G155" s="1389">
        <v>0</v>
      </c>
      <c r="H155" s="1414"/>
      <c r="I155" s="1314"/>
      <c r="J155" s="1314"/>
      <c r="K155" s="1254"/>
      <c r="L155" s="1254"/>
      <c r="M155" s="1254"/>
      <c r="N155" s="1254"/>
      <c r="O155" s="1377"/>
      <c r="P155" s="1377"/>
    </row>
    <row r="156" spans="1:16" customFormat="1" ht="19.5" customHeight="1">
      <c r="A156" s="2343"/>
      <c r="B156" s="2343"/>
      <c r="C156" s="1426">
        <v>2015</v>
      </c>
      <c r="D156" s="1416">
        <v>0</v>
      </c>
      <c r="E156" s="1315">
        <v>0</v>
      </c>
      <c r="F156" s="1315">
        <v>0</v>
      </c>
      <c r="G156" s="1389">
        <v>0</v>
      </c>
      <c r="H156" s="1416">
        <v>0</v>
      </c>
      <c r="I156" s="1315">
        <v>0</v>
      </c>
      <c r="J156" s="1315">
        <v>0</v>
      </c>
      <c r="K156" s="1254"/>
      <c r="L156" s="1254"/>
      <c r="M156" s="1254"/>
      <c r="N156" s="1254"/>
      <c r="O156" s="1377"/>
      <c r="P156" s="1377"/>
    </row>
    <row r="157" spans="1:16" customFormat="1" ht="17.25" customHeight="1">
      <c r="A157" s="2343"/>
      <c r="B157" s="2343"/>
      <c r="C157" s="1426">
        <v>2016</v>
      </c>
      <c r="D157" s="1416">
        <v>0</v>
      </c>
      <c r="E157" s="1315">
        <v>0</v>
      </c>
      <c r="F157" s="1315">
        <v>0</v>
      </c>
      <c r="G157" s="1389">
        <v>0</v>
      </c>
      <c r="H157" s="1416">
        <v>0</v>
      </c>
      <c r="I157" s="1315">
        <v>0</v>
      </c>
      <c r="J157" s="1315">
        <v>0</v>
      </c>
      <c r="K157" s="1254"/>
      <c r="L157" s="1254"/>
      <c r="M157" s="1254"/>
      <c r="N157" s="1254"/>
      <c r="O157" s="1377"/>
      <c r="P157" s="1377"/>
    </row>
    <row r="158" spans="1:16" customFormat="1" ht="15" customHeight="1">
      <c r="A158" s="2343"/>
      <c r="B158" s="2343"/>
      <c r="C158" s="1426">
        <v>2017</v>
      </c>
      <c r="D158" s="1416"/>
      <c r="E158" s="1315"/>
      <c r="F158" s="1315"/>
      <c r="G158" s="1389">
        <v>0</v>
      </c>
      <c r="H158" s="1416"/>
      <c r="I158" s="1315"/>
      <c r="J158" s="1315"/>
      <c r="K158" s="1254"/>
      <c r="L158" s="1254"/>
      <c r="M158" s="1254"/>
      <c r="N158" s="1254"/>
      <c r="O158" s="1377"/>
      <c r="P158" s="1377"/>
    </row>
    <row r="159" spans="1:16" customFormat="1" ht="19.5" customHeight="1">
      <c r="A159" s="2343"/>
      <c r="B159" s="2343"/>
      <c r="C159" s="1426">
        <v>2018</v>
      </c>
      <c r="D159" s="1416"/>
      <c r="E159" s="1315"/>
      <c r="F159" s="1315"/>
      <c r="G159" s="1389">
        <v>0</v>
      </c>
      <c r="H159" s="1416"/>
      <c r="I159" s="1315"/>
      <c r="J159" s="1315"/>
      <c r="K159" s="1254"/>
      <c r="L159" s="1254"/>
      <c r="M159" s="1254"/>
      <c r="N159" s="1254"/>
      <c r="O159" s="1377"/>
      <c r="P159" s="1377"/>
    </row>
    <row r="160" spans="1:16" customFormat="1" ht="15" customHeight="1">
      <c r="A160" s="2343"/>
      <c r="B160" s="2343"/>
      <c r="C160" s="1426">
        <v>2019</v>
      </c>
      <c r="D160" s="1416"/>
      <c r="E160" s="1315"/>
      <c r="F160" s="1315"/>
      <c r="G160" s="1389">
        <v>0</v>
      </c>
      <c r="H160" s="1416"/>
      <c r="I160" s="1315"/>
      <c r="J160" s="1315"/>
      <c r="K160" s="1254"/>
      <c r="L160" s="1254"/>
      <c r="M160" s="1254"/>
      <c r="N160" s="1254"/>
      <c r="O160" s="1377"/>
      <c r="P160" s="1377"/>
    </row>
    <row r="161" spans="1:18" customFormat="1" ht="17.25" customHeight="1">
      <c r="A161" s="2343"/>
      <c r="B161" s="2343"/>
      <c r="C161" s="1426">
        <v>2020</v>
      </c>
      <c r="D161" s="1416"/>
      <c r="E161" s="1315"/>
      <c r="F161" s="1315"/>
      <c r="G161" s="1389">
        <v>0</v>
      </c>
      <c r="H161" s="1416"/>
      <c r="I161" s="1315"/>
      <c r="J161" s="1315"/>
      <c r="K161" s="1254"/>
      <c r="L161" s="1254"/>
      <c r="M161" s="1254"/>
      <c r="N161" s="1254"/>
      <c r="O161" s="1377"/>
      <c r="P161" s="1377"/>
      <c r="Q161" s="1254"/>
      <c r="R161" s="1254"/>
    </row>
    <row r="162" spans="1:18" customFormat="1">
      <c r="A162" s="2343"/>
      <c r="B162" s="2343"/>
      <c r="C162" s="1427" t="s">
        <v>13</v>
      </c>
      <c r="D162" s="1418">
        <v>0</v>
      </c>
      <c r="E162" s="1389">
        <v>0</v>
      </c>
      <c r="F162" s="1389">
        <v>0</v>
      </c>
      <c r="G162" s="1389">
        <v>0</v>
      </c>
      <c r="H162" s="1418">
        <v>0</v>
      </c>
      <c r="I162" s="1389">
        <v>0</v>
      </c>
      <c r="J162" s="1428">
        <v>0</v>
      </c>
      <c r="K162" s="1254"/>
      <c r="L162" s="1254"/>
      <c r="M162" s="1254"/>
      <c r="N162" s="1254"/>
      <c r="O162" s="1254"/>
      <c r="P162" s="1254"/>
      <c r="Q162" s="1254"/>
      <c r="R162" s="1254"/>
    </row>
    <row r="163" spans="1:18" customFormat="1" ht="24.75" customHeight="1">
      <c r="A163" s="1407"/>
      <c r="B163" s="1343"/>
      <c r="C163" s="1429"/>
      <c r="D163" s="1377"/>
      <c r="E163" s="1430"/>
      <c r="F163" s="1377"/>
      <c r="G163" s="1377"/>
      <c r="H163" s="1377"/>
      <c r="I163" s="1377"/>
      <c r="J163" s="1358"/>
      <c r="K163" s="1431"/>
      <c r="L163" s="1254"/>
      <c r="M163" s="1254"/>
      <c r="N163" s="1254"/>
      <c r="O163" s="1254"/>
      <c r="P163" s="1254"/>
      <c r="Q163" s="1254"/>
      <c r="R163" s="1254"/>
    </row>
    <row r="164" spans="1:18" customFormat="1" ht="95.25" customHeight="1">
      <c r="A164" s="1432" t="s">
        <v>115</v>
      </c>
      <c r="B164" s="1433" t="s">
        <v>366</v>
      </c>
      <c r="C164" s="1434" t="s">
        <v>9</v>
      </c>
      <c r="D164" s="1435" t="s">
        <v>117</v>
      </c>
      <c r="E164" s="1435" t="s">
        <v>118</v>
      </c>
      <c r="F164" s="1436" t="s">
        <v>119</v>
      </c>
      <c r="G164" s="1435" t="s">
        <v>120</v>
      </c>
      <c r="H164" s="1435" t="s">
        <v>121</v>
      </c>
      <c r="I164" s="1435" t="s">
        <v>122</v>
      </c>
      <c r="J164" s="1437" t="s">
        <v>123</v>
      </c>
      <c r="K164" s="1437" t="s">
        <v>124</v>
      </c>
      <c r="L164" s="1332"/>
      <c r="M164" s="1254"/>
      <c r="N164" s="1254"/>
      <c r="O164" s="1254"/>
      <c r="P164" s="1254"/>
      <c r="Q164" s="1254"/>
      <c r="R164" s="1254"/>
    </row>
    <row r="165" spans="1:18" customFormat="1" ht="15.75" customHeight="1">
      <c r="A165" s="2344"/>
      <c r="B165" s="2344"/>
      <c r="C165" s="1438">
        <v>2014</v>
      </c>
      <c r="D165" s="1314"/>
      <c r="E165" s="1314"/>
      <c r="F165" s="1314"/>
      <c r="G165" s="1314"/>
      <c r="H165" s="1314"/>
      <c r="I165" s="1314"/>
      <c r="J165" s="1439">
        <v>0</v>
      </c>
      <c r="K165" s="1275">
        <v>0</v>
      </c>
      <c r="L165" s="1332"/>
      <c r="M165" s="1254"/>
      <c r="N165" s="1254"/>
      <c r="O165" s="1254"/>
      <c r="P165" s="1254"/>
      <c r="Q165" s="1254"/>
      <c r="R165" s="1254"/>
    </row>
    <row r="166" spans="1:18" customFormat="1">
      <c r="A166" s="2344"/>
      <c r="B166" s="2344"/>
      <c r="C166" s="1440">
        <v>2015</v>
      </c>
      <c r="D166" s="1441">
        <v>0</v>
      </c>
      <c r="E166" s="1441">
        <v>0</v>
      </c>
      <c r="F166" s="1441">
        <v>0</v>
      </c>
      <c r="G166" s="1441">
        <v>0</v>
      </c>
      <c r="H166" s="1441">
        <v>0</v>
      </c>
      <c r="I166" s="1441">
        <v>0</v>
      </c>
      <c r="J166" s="1442">
        <v>0</v>
      </c>
      <c r="K166" s="1341">
        <v>0</v>
      </c>
      <c r="L166" s="1332"/>
      <c r="M166" s="1254"/>
      <c r="N166" s="1254"/>
      <c r="O166" s="1254"/>
      <c r="P166" s="1254"/>
      <c r="Q166" s="1254"/>
      <c r="R166" s="1254"/>
    </row>
    <row r="167" spans="1:18" customFormat="1">
      <c r="A167" s="2344"/>
      <c r="B167" s="2344"/>
      <c r="C167" s="1440">
        <v>2016</v>
      </c>
      <c r="D167" s="1441">
        <v>0</v>
      </c>
      <c r="E167" s="1441">
        <v>0</v>
      </c>
      <c r="F167" s="1441">
        <v>0</v>
      </c>
      <c r="G167" s="1441">
        <v>0</v>
      </c>
      <c r="H167" s="1441">
        <v>0</v>
      </c>
      <c r="I167" s="1441">
        <v>0</v>
      </c>
      <c r="J167" s="1442">
        <v>0</v>
      </c>
      <c r="K167" s="1341">
        <v>0</v>
      </c>
      <c r="L167" s="1254"/>
      <c r="M167" s="1254"/>
      <c r="N167" s="1254"/>
      <c r="O167" s="1254"/>
      <c r="P167" s="1254"/>
      <c r="Q167" s="1254"/>
      <c r="R167" s="1254"/>
    </row>
    <row r="168" spans="1:18" customFormat="1">
      <c r="A168" s="2344"/>
      <c r="B168" s="2344"/>
      <c r="C168" s="1440">
        <v>2017</v>
      </c>
      <c r="D168" s="1441"/>
      <c r="E168" s="1377"/>
      <c r="F168" s="1441"/>
      <c r="G168" s="1441"/>
      <c r="H168" s="1441"/>
      <c r="I168" s="1441"/>
      <c r="J168" s="1442">
        <v>0</v>
      </c>
      <c r="K168" s="1341">
        <v>0</v>
      </c>
      <c r="L168" s="1254"/>
      <c r="M168" s="1254"/>
      <c r="N168" s="1254"/>
      <c r="O168" s="1254"/>
      <c r="P168" s="1254"/>
      <c r="Q168" s="1254"/>
      <c r="R168" s="1254"/>
    </row>
    <row r="169" spans="1:18" customFormat="1">
      <c r="A169" s="2344"/>
      <c r="B169" s="2344"/>
      <c r="C169" s="1443">
        <v>2018</v>
      </c>
      <c r="D169" s="1441"/>
      <c r="E169" s="1441"/>
      <c r="F169" s="1441"/>
      <c r="G169" s="1444"/>
      <c r="H169" s="1441"/>
      <c r="I169" s="1441"/>
      <c r="J169" s="1442">
        <v>0</v>
      </c>
      <c r="K169" s="1341">
        <v>0</v>
      </c>
      <c r="L169" s="1332"/>
      <c r="M169" s="1254"/>
      <c r="N169" s="1254"/>
      <c r="O169" s="1254"/>
      <c r="P169" s="1254"/>
      <c r="Q169" s="1254"/>
      <c r="R169" s="1254"/>
    </row>
    <row r="170" spans="1:18" customFormat="1">
      <c r="A170" s="2344"/>
      <c r="B170" s="2344"/>
      <c r="C170" s="1440">
        <v>2019</v>
      </c>
      <c r="D170" s="1377"/>
      <c r="E170" s="1441"/>
      <c r="F170" s="1441"/>
      <c r="G170" s="1441"/>
      <c r="H170" s="1444"/>
      <c r="I170" s="1441"/>
      <c r="J170" s="1442">
        <v>0</v>
      </c>
      <c r="K170" s="1341">
        <v>0</v>
      </c>
      <c r="L170" s="1332"/>
      <c r="M170" s="1254"/>
      <c r="N170" s="1254"/>
      <c r="O170" s="1254"/>
      <c r="P170" s="1254"/>
      <c r="Q170" s="1254"/>
      <c r="R170" s="1254"/>
    </row>
    <row r="171" spans="1:18" customFormat="1">
      <c r="A171" s="2344"/>
      <c r="B171" s="2344"/>
      <c r="C171" s="1443">
        <v>2020</v>
      </c>
      <c r="D171" s="1441"/>
      <c r="E171" s="1441"/>
      <c r="F171" s="1441"/>
      <c r="G171" s="1441"/>
      <c r="H171" s="1441"/>
      <c r="I171" s="1441"/>
      <c r="J171" s="1442">
        <v>0</v>
      </c>
      <c r="K171" s="1341">
        <v>0</v>
      </c>
      <c r="L171" s="1332"/>
      <c r="M171" s="1254"/>
      <c r="N171" s="1254"/>
      <c r="O171" s="1254"/>
      <c r="P171" s="1254"/>
      <c r="Q171" s="1254"/>
      <c r="R171" s="1254"/>
    </row>
    <row r="172" spans="1:18" customFormat="1" ht="41.25" customHeight="1">
      <c r="A172" s="2344"/>
      <c r="B172" s="2344"/>
      <c r="C172" s="1445" t="s">
        <v>13</v>
      </c>
      <c r="D172" s="1389">
        <v>0</v>
      </c>
      <c r="E172" s="1389">
        <v>0</v>
      </c>
      <c r="F172" s="1389">
        <v>0</v>
      </c>
      <c r="G172" s="1389">
        <v>0</v>
      </c>
      <c r="H172" s="1389">
        <v>0</v>
      </c>
      <c r="I172" s="1446">
        <v>0</v>
      </c>
      <c r="J172" s="1389">
        <v>0</v>
      </c>
      <c r="K172" s="1418">
        <v>0</v>
      </c>
      <c r="L172" s="1332"/>
      <c r="M172" s="1254"/>
      <c r="N172" s="1254"/>
      <c r="O172" s="1254"/>
      <c r="P172" s="1254"/>
      <c r="Q172" s="1254"/>
      <c r="R172" s="1254"/>
    </row>
    <row r="173" spans="1:18" s="1307" customFormat="1" ht="26.25" customHeight="1">
      <c r="A173" s="1447"/>
      <c r="B173" s="1321"/>
      <c r="C173" s="1322"/>
      <c r="D173" s="1278"/>
      <c r="E173" s="1278"/>
      <c r="F173" s="1278"/>
      <c r="G173" s="1404"/>
      <c r="H173" s="1404"/>
      <c r="I173" s="1404"/>
      <c r="J173" s="1404"/>
      <c r="K173" s="1404"/>
      <c r="L173" s="1404"/>
      <c r="M173" s="1404"/>
      <c r="N173" s="1404"/>
      <c r="O173" s="1404"/>
      <c r="P173" s="1404"/>
      <c r="Q173" s="1404"/>
      <c r="R173" s="1403"/>
    </row>
    <row r="174" spans="1:18" customFormat="1" ht="21">
      <c r="A174" s="1448" t="s">
        <v>126</v>
      </c>
      <c r="B174" s="1448"/>
      <c r="C174" s="1449"/>
      <c r="D174" s="1449"/>
      <c r="E174" s="1449"/>
      <c r="F174" s="1449"/>
      <c r="G174" s="1449"/>
      <c r="H174" s="1449"/>
      <c r="I174" s="1449"/>
      <c r="J174" s="1449"/>
      <c r="K174" s="1449"/>
      <c r="L174" s="1449"/>
      <c r="M174" s="1449"/>
      <c r="N174" s="1449"/>
      <c r="O174" s="1449"/>
      <c r="P174" s="1254"/>
      <c r="Q174" s="1254"/>
      <c r="R174" s="1254"/>
    </row>
    <row r="175" spans="1:18" customFormat="1" ht="21">
      <c r="A175" s="1450"/>
      <c r="B175" s="1450"/>
      <c r="C175" s="1254"/>
      <c r="D175" s="1254"/>
      <c r="E175" s="1254"/>
      <c r="F175" s="1254"/>
      <c r="G175" s="1254"/>
      <c r="H175" s="1254"/>
      <c r="I175" s="1254"/>
      <c r="J175" s="1254"/>
      <c r="K175" s="1254"/>
      <c r="L175" s="1254"/>
      <c r="M175" s="1254"/>
      <c r="N175" s="1254"/>
      <c r="O175" s="1254"/>
      <c r="P175" s="1254"/>
      <c r="Q175" s="1254"/>
      <c r="R175" s="1254"/>
    </row>
    <row r="176" spans="1:18" s="1274" customFormat="1" ht="22.5" customHeight="1">
      <c r="A176" s="2345" t="s">
        <v>127</v>
      </c>
      <c r="B176" s="2339" t="s">
        <v>367</v>
      </c>
      <c r="C176" s="2340" t="s">
        <v>9</v>
      </c>
      <c r="D176" s="2340" t="s">
        <v>138</v>
      </c>
      <c r="E176" s="2340"/>
      <c r="F176" s="2340"/>
      <c r="G176" s="2340"/>
      <c r="H176" s="1451"/>
      <c r="I176" s="2336" t="s">
        <v>129</v>
      </c>
      <c r="J176" s="2336"/>
      <c r="K176" s="2336"/>
      <c r="L176" s="2336"/>
      <c r="M176" s="2336"/>
      <c r="N176" s="2336"/>
      <c r="O176" s="2336"/>
    </row>
    <row r="177" spans="1:15" s="1274" customFormat="1" ht="129.75" customHeight="1">
      <c r="A177" s="2345"/>
      <c r="B177" s="2339"/>
      <c r="C177" s="2340"/>
      <c r="D177" s="1452" t="s">
        <v>130</v>
      </c>
      <c r="E177" s="1453" t="s">
        <v>131</v>
      </c>
      <c r="F177" s="1453" t="s">
        <v>132</v>
      </c>
      <c r="G177" s="1454" t="s">
        <v>133</v>
      </c>
      <c r="H177" s="1455" t="s">
        <v>134</v>
      </c>
      <c r="I177" s="1456" t="s">
        <v>359</v>
      </c>
      <c r="J177" s="1457" t="s">
        <v>60</v>
      </c>
      <c r="K177" s="1457" t="s">
        <v>61</v>
      </c>
      <c r="L177" s="1457" t="s">
        <v>62</v>
      </c>
      <c r="M177" s="1457" t="s">
        <v>63</v>
      </c>
      <c r="N177" s="1457" t="s">
        <v>64</v>
      </c>
      <c r="O177" s="1457" t="s">
        <v>65</v>
      </c>
    </row>
    <row r="178" spans="1:15" customFormat="1" ht="15" customHeight="1">
      <c r="A178" s="2337" t="s">
        <v>368</v>
      </c>
      <c r="B178" s="2337"/>
      <c r="C178" s="1314">
        <v>2014</v>
      </c>
      <c r="D178" s="1276"/>
      <c r="E178" s="1275"/>
      <c r="F178" s="1275"/>
      <c r="G178" s="1341">
        <v>0</v>
      </c>
      <c r="H178" s="1369"/>
      <c r="I178" s="1369"/>
      <c r="J178" s="1275"/>
      <c r="K178" s="1275"/>
      <c r="L178" s="1275"/>
      <c r="M178" s="1275"/>
      <c r="N178" s="1275"/>
      <c r="O178" s="1275"/>
    </row>
    <row r="179" spans="1:15" customFormat="1">
      <c r="A179" s="2337"/>
      <c r="B179" s="2337"/>
      <c r="C179" s="1315">
        <v>2015</v>
      </c>
      <c r="D179" s="1280">
        <v>7</v>
      </c>
      <c r="E179" s="1279">
        <v>3</v>
      </c>
      <c r="F179" s="1279">
        <v>0</v>
      </c>
      <c r="G179" s="1341">
        <f>SUM(D179:F179)</f>
        <v>10</v>
      </c>
      <c r="H179" s="1458">
        <v>30</v>
      </c>
      <c r="I179" s="1335">
        <v>8</v>
      </c>
      <c r="J179" s="1279">
        <v>0</v>
      </c>
      <c r="K179" s="1279">
        <v>0</v>
      </c>
      <c r="L179" s="1279">
        <v>0</v>
      </c>
      <c r="M179" s="1279">
        <v>0</v>
      </c>
      <c r="N179" s="1279">
        <v>0</v>
      </c>
      <c r="O179" s="1279">
        <v>2</v>
      </c>
    </row>
    <row r="180" spans="1:15" customFormat="1">
      <c r="A180" s="2337"/>
      <c r="B180" s="2337"/>
      <c r="C180" s="1315">
        <v>2016</v>
      </c>
      <c r="D180" s="1282">
        <v>2</v>
      </c>
      <c r="E180" s="1279">
        <v>3</v>
      </c>
      <c r="F180" s="1279">
        <v>10</v>
      </c>
      <c r="G180" s="1341">
        <f>SUM(D180:F180)</f>
        <v>15</v>
      </c>
      <c r="H180" s="1458">
        <v>36</v>
      </c>
      <c r="I180" s="1335">
        <v>0</v>
      </c>
      <c r="J180" s="1279">
        <v>0</v>
      </c>
      <c r="K180" s="1279">
        <v>0</v>
      </c>
      <c r="L180" s="1279">
        <v>0</v>
      </c>
      <c r="M180" s="1279">
        <v>1</v>
      </c>
      <c r="N180" s="1279">
        <v>0</v>
      </c>
      <c r="O180" s="1279">
        <v>14</v>
      </c>
    </row>
    <row r="181" spans="1:15" customFormat="1">
      <c r="A181" s="2337"/>
      <c r="B181" s="2337"/>
      <c r="C181" s="1315">
        <v>2017</v>
      </c>
      <c r="D181" s="1282">
        <v>7</v>
      </c>
      <c r="E181" s="1279">
        <v>4</v>
      </c>
      <c r="F181" s="1279">
        <v>4</v>
      </c>
      <c r="G181" s="1341">
        <v>15</v>
      </c>
      <c r="H181" s="1458">
        <v>32</v>
      </c>
      <c r="I181" s="1335">
        <v>3</v>
      </c>
      <c r="J181" s="1279">
        <v>2</v>
      </c>
      <c r="K181" s="1279">
        <v>0</v>
      </c>
      <c r="L181" s="1279">
        <v>1</v>
      </c>
      <c r="M181" s="1279">
        <v>6</v>
      </c>
      <c r="N181" s="1279">
        <v>0</v>
      </c>
      <c r="O181" s="1279">
        <v>3</v>
      </c>
    </row>
    <row r="182" spans="1:15" customFormat="1">
      <c r="A182" s="2337"/>
      <c r="B182" s="2337"/>
      <c r="C182" s="1315">
        <v>2018</v>
      </c>
      <c r="D182" s="1282"/>
      <c r="E182" s="1279"/>
      <c r="F182" s="1279"/>
      <c r="G182" s="1341">
        <v>0</v>
      </c>
      <c r="H182" s="1458"/>
      <c r="I182" s="1335"/>
      <c r="J182" s="1279"/>
      <c r="K182" s="1279"/>
      <c r="L182" s="1279"/>
      <c r="M182" s="1279"/>
      <c r="N182" s="1279"/>
      <c r="O182" s="1279"/>
    </row>
    <row r="183" spans="1:15" customFormat="1">
      <c r="A183" s="2337"/>
      <c r="B183" s="2337"/>
      <c r="C183" s="1315">
        <v>2019</v>
      </c>
      <c r="D183" s="1282"/>
      <c r="E183" s="1279"/>
      <c r="F183" s="1279"/>
      <c r="G183" s="1341">
        <v>0</v>
      </c>
      <c r="H183" s="1458"/>
      <c r="I183" s="1335"/>
      <c r="J183" s="1279"/>
      <c r="K183" s="1279"/>
      <c r="L183" s="1279"/>
      <c r="M183" s="1279"/>
      <c r="N183" s="1279"/>
      <c r="O183" s="1279"/>
    </row>
    <row r="184" spans="1:15" customFormat="1">
      <c r="A184" s="2337"/>
      <c r="B184" s="2337"/>
      <c r="C184" s="1315">
        <v>2020</v>
      </c>
      <c r="D184" s="1282"/>
      <c r="E184" s="1279"/>
      <c r="F184" s="1279"/>
      <c r="G184" s="1341">
        <v>0</v>
      </c>
      <c r="H184" s="1458"/>
      <c r="I184" s="1335"/>
      <c r="J184" s="1279"/>
      <c r="K184" s="1279"/>
      <c r="L184" s="1279"/>
      <c r="M184" s="1279"/>
      <c r="N184" s="1279"/>
      <c r="O184" s="1279"/>
    </row>
    <row r="185" spans="1:15" customFormat="1" ht="45" customHeight="1">
      <c r="A185" s="2337"/>
      <c r="B185" s="2337"/>
      <c r="C185" s="1338" t="s">
        <v>13</v>
      </c>
      <c r="D185" s="1355">
        <f t="shared" ref="D185:O185" si="3">SUM(D179:D184)</f>
        <v>16</v>
      </c>
      <c r="E185" s="1341">
        <f t="shared" si="3"/>
        <v>10</v>
      </c>
      <c r="F185" s="1341">
        <f t="shared" si="3"/>
        <v>14</v>
      </c>
      <c r="G185" s="1341">
        <f t="shared" si="3"/>
        <v>40</v>
      </c>
      <c r="H185" s="1351">
        <f t="shared" si="3"/>
        <v>98</v>
      </c>
      <c r="I185" s="1340">
        <f t="shared" si="3"/>
        <v>11</v>
      </c>
      <c r="J185" s="1341">
        <f t="shared" si="3"/>
        <v>2</v>
      </c>
      <c r="K185" s="1341">
        <f t="shared" si="3"/>
        <v>0</v>
      </c>
      <c r="L185" s="1341">
        <f t="shared" si="3"/>
        <v>1</v>
      </c>
      <c r="M185" s="1341">
        <f t="shared" si="3"/>
        <v>7</v>
      </c>
      <c r="N185" s="1341">
        <f t="shared" si="3"/>
        <v>0</v>
      </c>
      <c r="O185" s="1341">
        <f t="shared" si="3"/>
        <v>19</v>
      </c>
    </row>
    <row r="186" spans="1:15" customFormat="1" ht="33" customHeight="1">
      <c r="A186" s="1254"/>
      <c r="B186" s="1254"/>
      <c r="C186" s="1254"/>
      <c r="D186" s="1254"/>
      <c r="E186" s="1254"/>
      <c r="F186" s="1254"/>
      <c r="G186" s="1254"/>
      <c r="H186" s="1254"/>
      <c r="I186" s="1254"/>
      <c r="J186" s="1254"/>
      <c r="K186" s="1254"/>
      <c r="L186" s="1254"/>
      <c r="M186" s="1254"/>
      <c r="N186" s="1254"/>
      <c r="O186" s="1254"/>
    </row>
    <row r="187" spans="1:15" customFormat="1" ht="19.5" customHeight="1">
      <c r="A187" s="2338" t="s">
        <v>137</v>
      </c>
      <c r="B187" s="2339" t="s">
        <v>367</v>
      </c>
      <c r="C187" s="2340" t="s">
        <v>9</v>
      </c>
      <c r="D187" s="2341" t="s">
        <v>138</v>
      </c>
      <c r="E187" s="2341"/>
      <c r="F187" s="2341"/>
      <c r="G187" s="2341"/>
      <c r="H187" s="2342" t="s">
        <v>139</v>
      </c>
      <c r="I187" s="2342"/>
      <c r="J187" s="2342"/>
      <c r="K187" s="2342"/>
      <c r="L187" s="2342"/>
      <c r="M187" s="1254"/>
      <c r="N187" s="1254"/>
      <c r="O187" s="1254"/>
    </row>
    <row r="188" spans="1:15" customFormat="1" ht="77.25">
      <c r="A188" s="2338"/>
      <c r="B188" s="2339"/>
      <c r="C188" s="2340"/>
      <c r="D188" s="1457" t="s">
        <v>140</v>
      </c>
      <c r="E188" s="1457" t="s">
        <v>141</v>
      </c>
      <c r="F188" s="1457" t="s">
        <v>142</v>
      </c>
      <c r="G188" s="1459" t="s">
        <v>13</v>
      </c>
      <c r="H188" s="1460" t="s">
        <v>143</v>
      </c>
      <c r="I188" s="1457" t="s">
        <v>144</v>
      </c>
      <c r="J188" s="1457" t="s">
        <v>145</v>
      </c>
      <c r="K188" s="1457" t="s">
        <v>369</v>
      </c>
      <c r="L188" s="1457" t="s">
        <v>147</v>
      </c>
      <c r="M188" s="1254"/>
      <c r="N188" s="1254"/>
      <c r="O188" s="1254"/>
    </row>
    <row r="189" spans="1:15" customFormat="1" ht="15" customHeight="1">
      <c r="A189" s="2329" t="s">
        <v>370</v>
      </c>
      <c r="B189" s="2330"/>
      <c r="C189" s="1461">
        <v>2014</v>
      </c>
      <c r="D189" s="1352"/>
      <c r="E189" s="1334"/>
      <c r="F189" s="1334"/>
      <c r="G189" s="1462">
        <v>0</v>
      </c>
      <c r="H189" s="1333"/>
      <c r="I189" s="1334"/>
      <c r="J189" s="1334"/>
      <c r="K189" s="1334"/>
      <c r="L189" s="1334"/>
      <c r="M189" s="1254"/>
      <c r="N189" s="1254"/>
      <c r="O189" s="1254"/>
    </row>
    <row r="190" spans="1:15" customFormat="1">
      <c r="A190" s="2330"/>
      <c r="B190" s="2330"/>
      <c r="C190" s="1315">
        <v>2015</v>
      </c>
      <c r="D190" s="1282">
        <v>329</v>
      </c>
      <c r="E190" s="1279">
        <v>97</v>
      </c>
      <c r="F190" s="1279">
        <v>0</v>
      </c>
      <c r="G190" s="1462">
        <v>426</v>
      </c>
      <c r="H190" s="1335">
        <v>0</v>
      </c>
      <c r="I190" s="1279">
        <v>50</v>
      </c>
      <c r="J190" s="1279">
        <v>0</v>
      </c>
      <c r="K190" s="1279">
        <v>376</v>
      </c>
      <c r="L190" s="1279">
        <v>0</v>
      </c>
      <c r="M190" s="1254"/>
      <c r="N190" s="1254"/>
      <c r="O190" s="1254"/>
    </row>
    <row r="191" spans="1:15" customFormat="1">
      <c r="A191" s="2330"/>
      <c r="B191" s="2330"/>
      <c r="C191" s="1315">
        <v>2016</v>
      </c>
      <c r="D191" s="1282">
        <v>69</v>
      </c>
      <c r="E191" s="1279">
        <v>110</v>
      </c>
      <c r="F191" s="1279">
        <v>378</v>
      </c>
      <c r="G191" s="1462">
        <f>SUM(D191:F191)</f>
        <v>557</v>
      </c>
      <c r="H191" s="1335">
        <v>0</v>
      </c>
      <c r="I191" s="1279">
        <v>94</v>
      </c>
      <c r="J191" s="1279">
        <v>6</v>
      </c>
      <c r="K191" s="1279">
        <v>0</v>
      </c>
      <c r="L191" s="1279">
        <v>457</v>
      </c>
      <c r="M191" s="1254"/>
      <c r="N191" s="1254"/>
      <c r="O191" s="1254"/>
    </row>
    <row r="192" spans="1:15" customFormat="1">
      <c r="A192" s="2330"/>
      <c r="B192" s="2330"/>
      <c r="C192" s="1315">
        <v>2017</v>
      </c>
      <c r="D192" s="1282">
        <v>229</v>
      </c>
      <c r="E192" s="1279">
        <v>130</v>
      </c>
      <c r="F192" s="1279">
        <v>160</v>
      </c>
      <c r="G192" s="1462">
        <v>519</v>
      </c>
      <c r="H192" s="1335">
        <v>0</v>
      </c>
      <c r="I192" s="1279">
        <v>162</v>
      </c>
      <c r="J192" s="1279">
        <v>4</v>
      </c>
      <c r="K192" s="1279">
        <v>0</v>
      </c>
      <c r="L192" s="1279">
        <v>353</v>
      </c>
      <c r="M192" s="1254"/>
      <c r="N192" s="1254"/>
      <c r="O192" s="1254"/>
    </row>
    <row r="193" spans="1:14" customFormat="1">
      <c r="A193" s="2330"/>
      <c r="B193" s="2330"/>
      <c r="C193" s="1315">
        <v>2018</v>
      </c>
      <c r="D193" s="1282"/>
      <c r="E193" s="1279"/>
      <c r="F193" s="1279"/>
      <c r="G193" s="1462">
        <v>0</v>
      </c>
      <c r="H193" s="1335"/>
      <c r="I193" s="1279"/>
      <c r="J193" s="1279"/>
      <c r="K193" s="1279"/>
      <c r="L193" s="1279"/>
      <c r="M193" s="1254"/>
      <c r="N193" s="1254"/>
    </row>
    <row r="194" spans="1:14" customFormat="1">
      <c r="A194" s="2330"/>
      <c r="B194" s="2330"/>
      <c r="C194" s="1315">
        <v>2019</v>
      </c>
      <c r="D194" s="1282"/>
      <c r="E194" s="1279"/>
      <c r="F194" s="1279"/>
      <c r="G194" s="1462">
        <v>0</v>
      </c>
      <c r="H194" s="1335"/>
      <c r="I194" s="1279"/>
      <c r="J194" s="1279"/>
      <c r="K194" s="1279"/>
      <c r="L194" s="1279"/>
      <c r="M194" s="1254"/>
      <c r="N194" s="1254"/>
    </row>
    <row r="195" spans="1:14" customFormat="1">
      <c r="A195" s="2330"/>
      <c r="B195" s="2330"/>
      <c r="C195" s="1315">
        <v>2020</v>
      </c>
      <c r="D195" s="1282"/>
      <c r="E195" s="1279"/>
      <c r="F195" s="1279"/>
      <c r="G195" s="1462">
        <v>0</v>
      </c>
      <c r="H195" s="1335"/>
      <c r="I195" s="1279"/>
      <c r="J195" s="1279"/>
      <c r="K195" s="1279"/>
      <c r="L195" s="1279"/>
      <c r="M195" s="1254"/>
      <c r="N195" s="1254"/>
    </row>
    <row r="196" spans="1:14" customFormat="1" ht="28.5" customHeight="1">
      <c r="A196" s="2330"/>
      <c r="B196" s="2330"/>
      <c r="C196" s="1338" t="s">
        <v>13</v>
      </c>
      <c r="D196" s="1355">
        <f>SUM(D190:D195)</f>
        <v>627</v>
      </c>
      <c r="E196" s="1341">
        <f>SUM(E190:E195)</f>
        <v>337</v>
      </c>
      <c r="F196" s="1341">
        <f>SUM(F190:F195)</f>
        <v>538</v>
      </c>
      <c r="G196" s="1463">
        <f>SUM(G189:G195)</f>
        <v>1502</v>
      </c>
      <c r="H196" s="1340">
        <f>SUM(H190:H195)</f>
        <v>0</v>
      </c>
      <c r="I196" s="1341">
        <f>SUM(I190:I195)</f>
        <v>306</v>
      </c>
      <c r="J196" s="1341">
        <f>SUM(J190:J195)</f>
        <v>10</v>
      </c>
      <c r="K196" s="1341">
        <f>SUM(K190:K195)</f>
        <v>376</v>
      </c>
      <c r="L196" s="1341">
        <f>SUM(L190:L195)</f>
        <v>810</v>
      </c>
      <c r="M196" s="1254"/>
      <c r="N196" s="1254"/>
    </row>
    <row r="197" spans="1:14" customFormat="1">
      <c r="A197" s="1254"/>
      <c r="B197" s="1254"/>
      <c r="C197" s="1254"/>
      <c r="D197" s="1254"/>
      <c r="E197" s="1254"/>
      <c r="F197" s="1254"/>
      <c r="G197" s="1254"/>
      <c r="H197" s="1254"/>
      <c r="I197" s="1254"/>
      <c r="J197" s="1254"/>
      <c r="K197" s="1254"/>
      <c r="L197" s="1254"/>
      <c r="M197" s="1254"/>
      <c r="N197" s="1254"/>
    </row>
    <row r="198" spans="1:14" customFormat="1">
      <c r="A198" s="1254"/>
      <c r="B198" s="1254"/>
      <c r="C198" s="1254"/>
      <c r="D198" s="1254"/>
      <c r="E198" s="1254"/>
      <c r="F198" s="1254"/>
      <c r="G198" s="1254"/>
      <c r="H198" s="1254"/>
      <c r="I198" s="1254"/>
      <c r="J198" s="1254"/>
      <c r="K198" s="1254"/>
      <c r="L198" s="1254"/>
      <c r="M198" s="1254"/>
      <c r="N198" s="1254"/>
    </row>
    <row r="199" spans="1:14" customFormat="1" ht="21">
      <c r="A199" s="1464" t="s">
        <v>149</v>
      </c>
      <c r="B199" s="1464"/>
      <c r="C199" s="1465"/>
      <c r="D199" s="1465"/>
      <c r="E199" s="1465"/>
      <c r="F199" s="1465"/>
      <c r="G199" s="1465"/>
      <c r="H199" s="1465"/>
      <c r="I199" s="1465"/>
      <c r="J199" s="1465"/>
      <c r="K199" s="1465"/>
      <c r="L199" s="1465"/>
      <c r="M199" s="1307"/>
      <c r="N199" s="1307"/>
    </row>
    <row r="200" spans="1:14" customFormat="1" ht="10.5" customHeight="1">
      <c r="A200" s="1466"/>
      <c r="B200" s="1466"/>
      <c r="C200" s="1465"/>
      <c r="D200" s="1465"/>
      <c r="E200" s="1465"/>
      <c r="F200" s="1465"/>
      <c r="G200" s="1465"/>
      <c r="H200" s="1465"/>
      <c r="I200" s="1465"/>
      <c r="J200" s="1465"/>
      <c r="K200" s="1465"/>
      <c r="L200" s="1465"/>
      <c r="M200" s="1254"/>
      <c r="N200" s="1254"/>
    </row>
    <row r="201" spans="1:14" s="1274" customFormat="1" ht="101.25" customHeight="1">
      <c r="A201" s="1467" t="s">
        <v>371</v>
      </c>
      <c r="B201" s="1468" t="s">
        <v>367</v>
      </c>
      <c r="C201" s="1469" t="s">
        <v>9</v>
      </c>
      <c r="D201" s="1470" t="s">
        <v>151</v>
      </c>
      <c r="E201" s="1469" t="s">
        <v>152</v>
      </c>
      <c r="F201" s="1469" t="s">
        <v>153</v>
      </c>
      <c r="G201" s="1469" t="s">
        <v>154</v>
      </c>
      <c r="H201" s="1471" t="s">
        <v>155</v>
      </c>
      <c r="I201" s="1469" t="s">
        <v>156</v>
      </c>
      <c r="J201" s="1469" t="s">
        <v>157</v>
      </c>
      <c r="K201" s="1469" t="s">
        <v>158</v>
      </c>
      <c r="L201" s="1469" t="s">
        <v>159</v>
      </c>
    </row>
    <row r="202" spans="1:14" customFormat="1" ht="15" customHeight="1">
      <c r="A202" s="2331" t="s">
        <v>372</v>
      </c>
      <c r="B202" s="2332"/>
      <c r="C202" s="1314">
        <v>2014</v>
      </c>
      <c r="D202" s="1276"/>
      <c r="E202" s="1275"/>
      <c r="F202" s="1275"/>
      <c r="G202" s="1275"/>
      <c r="H202" s="1472"/>
      <c r="I202" s="1275"/>
      <c r="J202" s="1275"/>
      <c r="K202" s="1275"/>
      <c r="L202" s="1275"/>
      <c r="M202" s="1254"/>
      <c r="N202" s="1254"/>
    </row>
    <row r="203" spans="1:14" customFormat="1">
      <c r="A203" s="2332"/>
      <c r="B203" s="2332"/>
      <c r="C203" s="1315">
        <v>2015</v>
      </c>
      <c r="D203" s="1282">
        <v>0</v>
      </c>
      <c r="E203" s="1279">
        <v>0</v>
      </c>
      <c r="F203" s="1279">
        <v>0</v>
      </c>
      <c r="G203" s="1279">
        <v>0</v>
      </c>
      <c r="H203" s="1473">
        <v>0</v>
      </c>
      <c r="I203" s="1279">
        <v>0</v>
      </c>
      <c r="J203" s="1279">
        <v>0</v>
      </c>
      <c r="K203" s="1279">
        <v>0</v>
      </c>
      <c r="L203" s="1279">
        <v>0</v>
      </c>
      <c r="M203" s="1254"/>
      <c r="N203" s="1254"/>
    </row>
    <row r="204" spans="1:14" customFormat="1">
      <c r="A204" s="2332"/>
      <c r="B204" s="2332"/>
      <c r="C204" s="1315">
        <v>2016</v>
      </c>
      <c r="D204" s="1282">
        <v>1</v>
      </c>
      <c r="E204" s="1279">
        <v>9</v>
      </c>
      <c r="F204" s="1279">
        <v>5</v>
      </c>
      <c r="G204" s="1279">
        <v>1</v>
      </c>
      <c r="H204" s="1473">
        <v>4</v>
      </c>
      <c r="I204" s="1279">
        <v>0</v>
      </c>
      <c r="J204" s="1279">
        <v>1</v>
      </c>
      <c r="K204" s="1279">
        <v>50</v>
      </c>
      <c r="L204" s="1279">
        <v>0</v>
      </c>
      <c r="M204" s="1254"/>
      <c r="N204" s="1254"/>
    </row>
    <row r="205" spans="1:14" customFormat="1">
      <c r="A205" s="2332"/>
      <c r="B205" s="2332"/>
      <c r="C205" s="1315">
        <v>2017</v>
      </c>
      <c r="D205" s="1282">
        <v>1</v>
      </c>
      <c r="E205" s="1279">
        <v>7</v>
      </c>
      <c r="F205" s="1279">
        <v>3</v>
      </c>
      <c r="G205" s="1279">
        <v>2</v>
      </c>
      <c r="H205" s="1473">
        <v>3</v>
      </c>
      <c r="I205" s="1279">
        <v>0</v>
      </c>
      <c r="J205" s="1279">
        <v>1</v>
      </c>
      <c r="K205" s="1279">
        <v>50</v>
      </c>
      <c r="L205" s="1279">
        <v>0</v>
      </c>
      <c r="M205" s="1254"/>
      <c r="N205" s="1254"/>
    </row>
    <row r="206" spans="1:14" customFormat="1">
      <c r="A206" s="2332"/>
      <c r="B206" s="2332"/>
      <c r="C206" s="1315">
        <v>2018</v>
      </c>
      <c r="D206" s="1282"/>
      <c r="E206" s="1279"/>
      <c r="F206" s="1279"/>
      <c r="G206" s="1279"/>
      <c r="H206" s="1473"/>
      <c r="I206" s="1279"/>
      <c r="J206" s="1279"/>
      <c r="K206" s="1279"/>
      <c r="L206" s="1279"/>
      <c r="M206" s="1254"/>
      <c r="N206" s="1254"/>
    </row>
    <row r="207" spans="1:14" customFormat="1">
      <c r="A207" s="2332"/>
      <c r="B207" s="2332"/>
      <c r="C207" s="1315">
        <v>2019</v>
      </c>
      <c r="D207" s="1282"/>
      <c r="E207" s="1279"/>
      <c r="F207" s="1279"/>
      <c r="G207" s="1279"/>
      <c r="H207" s="1473"/>
      <c r="I207" s="1279"/>
      <c r="J207" s="1279"/>
      <c r="K207" s="1279"/>
      <c r="L207" s="1279"/>
      <c r="M207" s="1254"/>
      <c r="N207" s="1254"/>
    </row>
    <row r="208" spans="1:14" customFormat="1">
      <c r="A208" s="2332"/>
      <c r="B208" s="2332"/>
      <c r="C208" s="1315">
        <v>2020</v>
      </c>
      <c r="D208" s="1474"/>
      <c r="E208" s="1475"/>
      <c r="F208" s="1475"/>
      <c r="G208" s="1475"/>
      <c r="H208" s="1476"/>
      <c r="I208" s="1475"/>
      <c r="J208" s="1475"/>
      <c r="K208" s="1475"/>
      <c r="L208" s="1475"/>
      <c r="M208" s="1254"/>
      <c r="N208" s="1254"/>
    </row>
    <row r="209" spans="1:12" customFormat="1" ht="20.25" customHeight="1">
      <c r="A209" s="2332"/>
      <c r="B209" s="2332"/>
      <c r="C209" s="1338" t="s">
        <v>13</v>
      </c>
      <c r="D209" s="1355">
        <v>0</v>
      </c>
      <c r="E209" s="1355">
        <v>9</v>
      </c>
      <c r="F209" s="1355">
        <v>5</v>
      </c>
      <c r="G209" s="1355">
        <v>1</v>
      </c>
      <c r="H209" s="1355">
        <v>4</v>
      </c>
      <c r="I209" s="1355">
        <v>0</v>
      </c>
      <c r="J209" s="1355">
        <v>0</v>
      </c>
      <c r="K209" s="1355">
        <v>1</v>
      </c>
      <c r="L209" s="1355">
        <v>0</v>
      </c>
    </row>
    <row r="210" spans="1:12" customFormat="1">
      <c r="A210" s="1254"/>
      <c r="B210" s="1254"/>
      <c r="C210" s="1254"/>
      <c r="D210" s="1254"/>
      <c r="E210" s="1254"/>
      <c r="F210" s="1254"/>
      <c r="G210" s="1254"/>
      <c r="H210" s="1254"/>
      <c r="I210" s="1254"/>
      <c r="J210" s="1254"/>
      <c r="K210" s="1254"/>
      <c r="L210" s="1254"/>
    </row>
    <row r="211" spans="1:12" customFormat="1">
      <c r="A211" s="1254"/>
      <c r="B211" s="1254"/>
      <c r="C211" s="1254"/>
      <c r="D211" s="1254"/>
      <c r="E211" s="1254"/>
      <c r="F211" s="1254"/>
      <c r="G211" s="1254"/>
      <c r="H211" s="1254"/>
      <c r="I211" s="1254"/>
      <c r="J211" s="1254"/>
      <c r="K211" s="1254"/>
      <c r="L211" s="1254"/>
    </row>
    <row r="212" spans="1:12" customFormat="1" ht="29.25">
      <c r="A212" s="1477" t="s">
        <v>373</v>
      </c>
      <c r="B212" s="1478" t="s">
        <v>374</v>
      </c>
      <c r="C212" s="1379">
        <v>2014</v>
      </c>
      <c r="D212" s="1379">
        <v>2015</v>
      </c>
      <c r="E212" s="1379">
        <v>2016</v>
      </c>
      <c r="F212" s="1379">
        <v>2017</v>
      </c>
      <c r="G212" s="1379">
        <v>2018</v>
      </c>
      <c r="H212" s="1379">
        <v>2019</v>
      </c>
      <c r="I212" s="1379">
        <v>2020</v>
      </c>
      <c r="J212" s="1254"/>
      <c r="K212" s="1254"/>
      <c r="L212" s="1254"/>
    </row>
    <row r="213" spans="1:12" customFormat="1" ht="15" customHeight="1">
      <c r="A213" s="1254" t="s">
        <v>163</v>
      </c>
      <c r="B213" s="2333" t="s">
        <v>375</v>
      </c>
      <c r="C213" s="1314"/>
      <c r="D213" s="1479">
        <v>376156.74</v>
      </c>
      <c r="E213" s="1479">
        <v>807897.95</v>
      </c>
      <c r="F213" s="1479">
        <v>724658.1</v>
      </c>
      <c r="G213" s="1315"/>
      <c r="H213" s="1315"/>
      <c r="I213" s="1315"/>
      <c r="J213" s="1254"/>
      <c r="K213" s="1254"/>
      <c r="L213" s="1254"/>
    </row>
    <row r="214" spans="1:12" customFormat="1">
      <c r="A214" s="1254" t="s">
        <v>164</v>
      </c>
      <c r="B214" s="2334"/>
      <c r="C214" s="1314"/>
      <c r="D214" s="1480">
        <v>113565.55</v>
      </c>
      <c r="E214" s="1480">
        <v>475299.6</v>
      </c>
      <c r="F214" s="1480">
        <v>371387.13</v>
      </c>
      <c r="G214" s="1315"/>
      <c r="H214" s="1315"/>
      <c r="I214" s="1315"/>
      <c r="J214" s="1254"/>
      <c r="K214" s="1254"/>
      <c r="L214" s="1254"/>
    </row>
    <row r="215" spans="1:12" customFormat="1">
      <c r="A215" s="1254" t="s">
        <v>165</v>
      </c>
      <c r="B215" s="2334"/>
      <c r="C215" s="1314"/>
      <c r="D215" s="1480">
        <v>4920</v>
      </c>
      <c r="E215" s="1480">
        <v>19680</v>
      </c>
      <c r="F215" s="1481">
        <v>0</v>
      </c>
      <c r="G215" s="1315"/>
      <c r="H215" s="1315"/>
      <c r="I215" s="1315"/>
      <c r="J215" s="1254"/>
      <c r="K215" s="1254"/>
      <c r="L215" s="1254"/>
    </row>
    <row r="216" spans="1:12" customFormat="1">
      <c r="A216" s="1254" t="s">
        <v>166</v>
      </c>
      <c r="B216" s="2334"/>
      <c r="C216" s="1314"/>
      <c r="D216" s="1480">
        <v>26129.25</v>
      </c>
      <c r="E216" s="1480">
        <v>69804.259999999995</v>
      </c>
      <c r="F216" s="1480">
        <v>31365.22</v>
      </c>
      <c r="G216" s="1315"/>
      <c r="H216" s="1315"/>
      <c r="I216" s="1315"/>
      <c r="J216" s="1254"/>
      <c r="K216" s="1254"/>
      <c r="L216" s="1254"/>
    </row>
    <row r="217" spans="1:12" customFormat="1">
      <c r="A217" s="1254" t="s">
        <v>167</v>
      </c>
      <c r="B217" s="2334"/>
      <c r="C217" s="1314"/>
      <c r="D217" s="1480">
        <v>231541.94</v>
      </c>
      <c r="E217" s="1480">
        <v>243114.09</v>
      </c>
      <c r="F217" s="1480">
        <v>321905.75</v>
      </c>
      <c r="G217" s="1315"/>
      <c r="H217" s="1315"/>
      <c r="I217" s="1315"/>
      <c r="J217" s="1254"/>
      <c r="K217" s="1254"/>
      <c r="L217" s="1254"/>
    </row>
    <row r="218" spans="1:12" customFormat="1" ht="29.25">
      <c r="A218" s="1274" t="s">
        <v>168</v>
      </c>
      <c r="B218" s="2334"/>
      <c r="C218" s="1314"/>
      <c r="D218" s="1482">
        <v>144666.1</v>
      </c>
      <c r="E218" s="1482">
        <v>361553.52</v>
      </c>
      <c r="F218" s="1482">
        <v>374507.71</v>
      </c>
      <c r="G218" s="1315"/>
      <c r="H218" s="1315"/>
      <c r="I218" s="1315"/>
      <c r="J218" s="1254"/>
      <c r="K218" s="1254"/>
      <c r="L218" s="1254"/>
    </row>
    <row r="219" spans="1:12" customFormat="1" ht="409.5" customHeight="1">
      <c r="A219" s="1483"/>
      <c r="B219" s="2335"/>
      <c r="C219" s="1285" t="s">
        <v>13</v>
      </c>
      <c r="D219" s="1484">
        <f>SUM(D213,D218)</f>
        <v>520822.83999999997</v>
      </c>
      <c r="E219" s="1484">
        <f>SUM(E213,E218)</f>
        <v>1169451.47</v>
      </c>
      <c r="F219" s="1484">
        <f>SUM(F213,F218)</f>
        <v>1099165.81</v>
      </c>
      <c r="G219" s="1285">
        <v>0</v>
      </c>
      <c r="H219" s="1285">
        <v>0</v>
      </c>
      <c r="I219" s="1285">
        <v>0</v>
      </c>
      <c r="J219" s="1254"/>
      <c r="K219" s="1254"/>
      <c r="L219" s="1254"/>
    </row>
    <row r="227" spans="1:1" customFormat="1">
      <c r="A227" s="1274"/>
    </row>
  </sheetData>
  <mergeCells count="66">
    <mergeCell ref="A17:B24"/>
    <mergeCell ref="B1:F1"/>
    <mergeCell ref="A3:E3"/>
    <mergeCell ref="F3:O3"/>
    <mergeCell ref="A4:O10"/>
    <mergeCell ref="D15:G15"/>
    <mergeCell ref="D26:G26"/>
    <mergeCell ref="A28:B35"/>
    <mergeCell ref="A40:B47"/>
    <mergeCell ref="A50:B58"/>
    <mergeCell ref="A60:A61"/>
    <mergeCell ref="C60:C61"/>
    <mergeCell ref="D60:D61"/>
    <mergeCell ref="E60:L60"/>
    <mergeCell ref="A62:B69"/>
    <mergeCell ref="A72:B79"/>
    <mergeCell ref="A85:B92"/>
    <mergeCell ref="A96:A97"/>
    <mergeCell ref="B96:B97"/>
    <mergeCell ref="E118:L118"/>
    <mergeCell ref="D96:E96"/>
    <mergeCell ref="F96:M96"/>
    <mergeCell ref="A98:B105"/>
    <mergeCell ref="A107:A108"/>
    <mergeCell ref="B107:B108"/>
    <mergeCell ref="C107:C108"/>
    <mergeCell ref="D107:D108"/>
    <mergeCell ref="E107:L107"/>
    <mergeCell ref="C96:C97"/>
    <mergeCell ref="A109:B116"/>
    <mergeCell ref="A118:A119"/>
    <mergeCell ref="B118:B119"/>
    <mergeCell ref="C118:C119"/>
    <mergeCell ref="D118:D119"/>
    <mergeCell ref="A120:B127"/>
    <mergeCell ref="A129:A130"/>
    <mergeCell ref="B129:B130"/>
    <mergeCell ref="D129:G129"/>
    <mergeCell ref="A131:B137"/>
    <mergeCell ref="J142:N142"/>
    <mergeCell ref="A144:B151"/>
    <mergeCell ref="A153:A154"/>
    <mergeCell ref="B153:B154"/>
    <mergeCell ref="C153:C154"/>
    <mergeCell ref="D153:G153"/>
    <mergeCell ref="H153:J153"/>
    <mergeCell ref="A142:A143"/>
    <mergeCell ref="B142:B143"/>
    <mergeCell ref="C142:C143"/>
    <mergeCell ref="D142:I142"/>
    <mergeCell ref="A155:B162"/>
    <mergeCell ref="A165:B172"/>
    <mergeCell ref="A176:A177"/>
    <mergeCell ref="B176:B177"/>
    <mergeCell ref="C176:C177"/>
    <mergeCell ref="A189:B196"/>
    <mergeCell ref="A202:B209"/>
    <mergeCell ref="B213:B219"/>
    <mergeCell ref="I176:O176"/>
    <mergeCell ref="A178:B185"/>
    <mergeCell ref="A187:A188"/>
    <mergeCell ref="B187:B188"/>
    <mergeCell ref="C187:C188"/>
    <mergeCell ref="D187:G187"/>
    <mergeCell ref="H187:L187"/>
    <mergeCell ref="D176:G17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7"/>
  <sheetViews>
    <sheetView topLeftCell="C7" zoomScale="80" zoomScaleNormal="80" workbookViewId="0">
      <selection activeCell="K18" sqref="K18:O18"/>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565</v>
      </c>
      <c r="C1" s="1944"/>
      <c r="D1" s="1944"/>
      <c r="E1" s="1944"/>
      <c r="F1" s="1944"/>
    </row>
    <row r="2" spans="1:25" s="1" customFormat="1" ht="20.100000000000001" customHeight="1" thickBot="1"/>
    <row r="3" spans="1:25" s="4" customFormat="1" ht="20.100000000000001" customHeight="1">
      <c r="A3" s="1584" t="s">
        <v>2</v>
      </c>
      <c r="B3" s="1585"/>
      <c r="C3" s="1585"/>
      <c r="D3" s="1585"/>
      <c r="E3" s="1585"/>
      <c r="F3" s="2418"/>
      <c r="G3" s="2418"/>
      <c r="H3" s="2418"/>
      <c r="I3" s="2418"/>
      <c r="J3" s="2418"/>
      <c r="K3" s="2418"/>
      <c r="L3" s="2418"/>
      <c r="M3" s="2418"/>
      <c r="N3" s="2418"/>
      <c r="O3" s="2419"/>
    </row>
    <row r="4" spans="1:25" s="4" customFormat="1" ht="20.100000000000001" customHeight="1">
      <c r="A4" s="2420" t="s">
        <v>170</v>
      </c>
      <c r="B4" s="1948"/>
      <c r="C4" s="1948"/>
      <c r="D4" s="1948"/>
      <c r="E4" s="1948"/>
      <c r="F4" s="1948"/>
      <c r="G4" s="1948"/>
      <c r="H4" s="1948"/>
      <c r="I4" s="1948"/>
      <c r="J4" s="1948"/>
      <c r="K4" s="1948"/>
      <c r="L4" s="1948"/>
      <c r="M4" s="1948"/>
      <c r="N4" s="1948"/>
      <c r="O4" s="1949"/>
    </row>
    <row r="5" spans="1:25" s="4" customFormat="1" ht="20.100000000000001" customHeight="1">
      <c r="A5" s="2420"/>
      <c r="B5" s="1948"/>
      <c r="C5" s="1948"/>
      <c r="D5" s="1948"/>
      <c r="E5" s="1948"/>
      <c r="F5" s="1948"/>
      <c r="G5" s="1948"/>
      <c r="H5" s="1948"/>
      <c r="I5" s="1948"/>
      <c r="J5" s="1948"/>
      <c r="K5" s="1948"/>
      <c r="L5" s="1948"/>
      <c r="M5" s="1948"/>
      <c r="N5" s="1948"/>
      <c r="O5" s="1949"/>
    </row>
    <row r="6" spans="1:25" s="4" customFormat="1" ht="20.100000000000001" customHeight="1">
      <c r="A6" s="2420"/>
      <c r="B6" s="1948"/>
      <c r="C6" s="1948"/>
      <c r="D6" s="1948"/>
      <c r="E6" s="1948"/>
      <c r="F6" s="1948"/>
      <c r="G6" s="1948"/>
      <c r="H6" s="1948"/>
      <c r="I6" s="1948"/>
      <c r="J6" s="1948"/>
      <c r="K6" s="1948"/>
      <c r="L6" s="1948"/>
      <c r="M6" s="1948"/>
      <c r="N6" s="1948"/>
      <c r="O6" s="1949"/>
    </row>
    <row r="7" spans="1:25" s="4" customFormat="1" ht="20.100000000000001" customHeight="1">
      <c r="A7" s="2420"/>
      <c r="B7" s="1948"/>
      <c r="C7" s="1948"/>
      <c r="D7" s="1948"/>
      <c r="E7" s="1948"/>
      <c r="F7" s="1948"/>
      <c r="G7" s="1948"/>
      <c r="H7" s="1948"/>
      <c r="I7" s="1948"/>
      <c r="J7" s="1948"/>
      <c r="K7" s="1948"/>
      <c r="L7" s="1948"/>
      <c r="M7" s="1948"/>
      <c r="N7" s="1948"/>
      <c r="O7" s="1949"/>
    </row>
    <row r="8" spans="1:25" s="4" customFormat="1" ht="20.100000000000001" customHeight="1">
      <c r="A8" s="2420"/>
      <c r="B8" s="1948"/>
      <c r="C8" s="1948"/>
      <c r="D8" s="1948"/>
      <c r="E8" s="1948"/>
      <c r="F8" s="1948"/>
      <c r="G8" s="1948"/>
      <c r="H8" s="1948"/>
      <c r="I8" s="1948"/>
      <c r="J8" s="1948"/>
      <c r="K8" s="1948"/>
      <c r="L8" s="1948"/>
      <c r="M8" s="1948"/>
      <c r="N8" s="1948"/>
      <c r="O8" s="1949"/>
    </row>
    <row r="9" spans="1:25" s="4" customFormat="1" ht="20.100000000000001" customHeight="1">
      <c r="A9" s="2420"/>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1586"/>
      <c r="B15" s="1587"/>
      <c r="C15" s="10"/>
      <c r="D15" s="2421" t="s">
        <v>5</v>
      </c>
      <c r="E15" s="2422"/>
      <c r="F15" s="2422"/>
      <c r="G15" s="2422"/>
      <c r="H15" s="1746"/>
      <c r="I15" s="12" t="s">
        <v>6</v>
      </c>
      <c r="J15" s="13"/>
      <c r="K15" s="13"/>
      <c r="L15" s="13"/>
      <c r="M15" s="13"/>
      <c r="N15" s="13"/>
      <c r="O15" s="14"/>
      <c r="P15" s="15"/>
      <c r="Q15" s="16"/>
      <c r="R15" s="17"/>
      <c r="S15" s="17"/>
      <c r="T15" s="17"/>
      <c r="U15" s="17"/>
      <c r="V15" s="17"/>
      <c r="W15" s="15"/>
      <c r="X15" s="15"/>
      <c r="Y15" s="16"/>
    </row>
    <row r="16" spans="1:25" s="56" customFormat="1" ht="129" customHeight="1">
      <c r="A16" s="153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2408" t="s">
        <v>566</v>
      </c>
      <c r="B17" s="1855"/>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2378"/>
      <c r="B18" s="1855"/>
      <c r="C18" s="36">
        <v>2015</v>
      </c>
      <c r="D18" s="37">
        <v>7</v>
      </c>
      <c r="E18" s="38">
        <v>3</v>
      </c>
      <c r="F18" s="38">
        <v>1</v>
      </c>
      <c r="G18" s="32">
        <f>SUM(D18:F18)</f>
        <v>11</v>
      </c>
      <c r="H18" s="39"/>
      <c r="I18" s="345"/>
      <c r="J18" s="38"/>
      <c r="K18" s="578">
        <v>4</v>
      </c>
      <c r="L18" s="38">
        <v>2</v>
      </c>
      <c r="M18" s="38"/>
      <c r="N18" s="38"/>
      <c r="O18" s="40">
        <v>5</v>
      </c>
      <c r="P18" s="35"/>
      <c r="Q18" s="35"/>
      <c r="R18" s="35"/>
      <c r="S18" s="35"/>
      <c r="T18" s="35"/>
      <c r="U18" s="35"/>
      <c r="V18" s="35"/>
      <c r="W18" s="35"/>
      <c r="X18" s="35"/>
      <c r="Y18" s="35"/>
    </row>
    <row r="19" spans="1:25">
      <c r="A19" s="2378"/>
      <c r="B19" s="1855"/>
      <c r="C19" s="36">
        <v>2016</v>
      </c>
      <c r="D19" s="37">
        <v>20</v>
      </c>
      <c r="E19" s="38">
        <v>8</v>
      </c>
      <c r="F19" s="38">
        <v>1</v>
      </c>
      <c r="G19" s="32">
        <v>29</v>
      </c>
      <c r="H19" s="39"/>
      <c r="I19" s="38">
        <v>13</v>
      </c>
      <c r="J19" s="38"/>
      <c r="K19" s="38">
        <v>14</v>
      </c>
      <c r="L19" s="38"/>
      <c r="M19" s="38">
        <v>1</v>
      </c>
      <c r="N19" s="38"/>
      <c r="O19" s="1747">
        <v>1</v>
      </c>
      <c r="P19" s="35"/>
      <c r="Q19" s="35"/>
      <c r="R19" s="35"/>
      <c r="S19" s="35"/>
      <c r="T19" s="35"/>
      <c r="U19" s="35"/>
      <c r="V19" s="35"/>
      <c r="W19" s="35"/>
      <c r="X19" s="35"/>
      <c r="Y19" s="35"/>
    </row>
    <row r="20" spans="1:25">
      <c r="A20" s="2378"/>
      <c r="B20" s="1855"/>
      <c r="C20" s="36">
        <v>2017</v>
      </c>
      <c r="D20" s="37">
        <v>14</v>
      </c>
      <c r="E20" s="38"/>
      <c r="F20" s="38"/>
      <c r="G20" s="32">
        <f t="shared" si="0"/>
        <v>14</v>
      </c>
      <c r="H20" s="39">
        <v>2</v>
      </c>
      <c r="I20" s="38">
        <v>2</v>
      </c>
      <c r="J20" s="38"/>
      <c r="K20" s="38">
        <v>9</v>
      </c>
      <c r="L20" s="38"/>
      <c r="M20" s="38">
        <v>1</v>
      </c>
      <c r="N20" s="38"/>
      <c r="O20" s="40"/>
      <c r="P20" s="35"/>
      <c r="Q20" s="35"/>
      <c r="R20" s="35"/>
      <c r="S20" s="35"/>
      <c r="T20" s="35"/>
      <c r="U20" s="35"/>
      <c r="V20" s="35"/>
      <c r="W20" s="35"/>
      <c r="X20" s="35"/>
      <c r="Y20" s="35"/>
    </row>
    <row r="21" spans="1:25">
      <c r="A21" s="2378"/>
      <c r="B21" s="1855"/>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2378"/>
      <c r="B22" s="1855"/>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2378"/>
      <c r="B23" s="1855"/>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19.5" customHeight="1" thickBot="1">
      <c r="A24" s="1856"/>
      <c r="B24" s="1857"/>
      <c r="C24" s="42" t="s">
        <v>13</v>
      </c>
      <c r="D24" s="43">
        <f>SUM(D17:D23)</f>
        <v>41</v>
      </c>
      <c r="E24" s="44">
        <f>SUM(E17:E23)</f>
        <v>11</v>
      </c>
      <c r="F24" s="44">
        <f>SUM(F17:F23)</f>
        <v>2</v>
      </c>
      <c r="G24" s="45">
        <f>SUM(D24:F24)</f>
        <v>54</v>
      </c>
      <c r="H24" s="46">
        <f>SUM(H17:H23)</f>
        <v>2</v>
      </c>
      <c r="I24" s="47">
        <f>SUM(I17:I23)</f>
        <v>15</v>
      </c>
      <c r="J24" s="47">
        <f t="shared" ref="J24:N24" si="1">SUM(J17:J23)</f>
        <v>0</v>
      </c>
      <c r="K24" s="47">
        <f t="shared" si="1"/>
        <v>27</v>
      </c>
      <c r="L24" s="47">
        <f t="shared" si="1"/>
        <v>2</v>
      </c>
      <c r="M24" s="47">
        <f t="shared" si="1"/>
        <v>2</v>
      </c>
      <c r="N24" s="47">
        <f t="shared" si="1"/>
        <v>0</v>
      </c>
      <c r="O24" s="48">
        <f>SUM(O17:O23)</f>
        <v>6</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1586"/>
      <c r="B26" s="1587"/>
      <c r="C26" s="50"/>
      <c r="D26" s="2423" t="s">
        <v>5</v>
      </c>
      <c r="E26" s="2424"/>
      <c r="F26" s="2424"/>
      <c r="G26" s="2425"/>
      <c r="H26" s="15"/>
      <c r="I26" s="16"/>
      <c r="J26" s="17"/>
      <c r="K26" s="17"/>
      <c r="L26" s="17"/>
      <c r="M26" s="17"/>
      <c r="N26" s="17"/>
      <c r="O26" s="15"/>
      <c r="P26" s="15"/>
    </row>
    <row r="27" spans="1:25" s="56" customFormat="1" ht="93" customHeight="1">
      <c r="A27" s="171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2416" t="s">
        <v>567</v>
      </c>
      <c r="B28" s="2014"/>
      <c r="C28" s="57">
        <v>2014</v>
      </c>
      <c r="D28" s="33"/>
      <c r="E28" s="31"/>
      <c r="F28" s="31"/>
      <c r="G28" s="58">
        <f>SUM(D28:F28)</f>
        <v>0</v>
      </c>
      <c r="H28" s="35"/>
      <c r="I28" s="35"/>
      <c r="J28" s="35"/>
      <c r="K28" s="35"/>
      <c r="L28" s="35"/>
      <c r="M28" s="35"/>
      <c r="N28" s="35"/>
      <c r="O28" s="35"/>
      <c r="P28" s="35"/>
      <c r="Q28" s="7"/>
    </row>
    <row r="29" spans="1:25">
      <c r="A29" s="2426"/>
      <c r="B29" s="2014"/>
      <c r="C29" s="59">
        <v>2015</v>
      </c>
      <c r="D29" s="433">
        <v>8545</v>
      </c>
      <c r="E29" s="38">
        <v>3322</v>
      </c>
      <c r="F29" s="38">
        <v>19</v>
      </c>
      <c r="G29" s="58">
        <f t="shared" ref="G29:G35" si="2">SUM(D29:F29)</f>
        <v>11886</v>
      </c>
      <c r="H29" s="35"/>
      <c r="I29" s="35"/>
      <c r="J29" s="35"/>
      <c r="K29" s="35"/>
      <c r="L29" s="35"/>
      <c r="M29" s="35"/>
      <c r="N29" s="35"/>
      <c r="O29" s="35"/>
      <c r="P29" s="35"/>
      <c r="Q29" s="7"/>
    </row>
    <row r="30" spans="1:25">
      <c r="A30" s="2426"/>
      <c r="B30" s="2014"/>
      <c r="C30" s="59">
        <v>2016</v>
      </c>
      <c r="D30" s="1748">
        <v>11934</v>
      </c>
      <c r="E30" s="1749">
        <v>7740</v>
      </c>
      <c r="F30" s="1749">
        <v>20000</v>
      </c>
      <c r="G30" s="58">
        <f t="shared" si="2"/>
        <v>39674</v>
      </c>
      <c r="H30" s="35"/>
      <c r="I30" s="35"/>
      <c r="J30" s="35"/>
      <c r="K30" s="35"/>
      <c r="L30" s="35"/>
      <c r="M30" s="35"/>
      <c r="N30" s="35"/>
      <c r="O30" s="35"/>
      <c r="P30" s="35"/>
      <c r="Q30" s="7"/>
    </row>
    <row r="31" spans="1:25">
      <c r="A31" s="2426"/>
      <c r="B31" s="2014"/>
      <c r="C31" s="59">
        <v>2017</v>
      </c>
      <c r="D31" s="433">
        <v>15806</v>
      </c>
      <c r="E31" s="38"/>
      <c r="F31" s="38"/>
      <c r="G31" s="58">
        <f t="shared" si="2"/>
        <v>15806</v>
      </c>
      <c r="H31" s="35"/>
      <c r="I31" s="35"/>
      <c r="J31" s="35"/>
      <c r="K31" s="35"/>
      <c r="L31" s="35"/>
      <c r="M31" s="35"/>
      <c r="N31" s="35"/>
      <c r="O31" s="35"/>
      <c r="P31" s="35"/>
      <c r="Q31" s="7"/>
    </row>
    <row r="32" spans="1:25">
      <c r="A32" s="2426"/>
      <c r="B32" s="2014"/>
      <c r="C32" s="59">
        <v>2018</v>
      </c>
      <c r="D32" s="39"/>
      <c r="E32" s="38"/>
      <c r="F32" s="38"/>
      <c r="G32" s="58">
        <f>SUM(D32:F32)</f>
        <v>0</v>
      </c>
      <c r="H32" s="35"/>
      <c r="I32" s="35"/>
      <c r="J32" s="35"/>
      <c r="K32" s="35"/>
      <c r="L32" s="35"/>
      <c r="M32" s="35"/>
      <c r="N32" s="35"/>
      <c r="O32" s="35"/>
      <c r="P32" s="35"/>
      <c r="Q32" s="7"/>
    </row>
    <row r="33" spans="1:17">
      <c r="A33" s="2426"/>
      <c r="B33" s="2014"/>
      <c r="C33" s="60">
        <v>2019</v>
      </c>
      <c r="D33" s="39"/>
      <c r="E33" s="38"/>
      <c r="F33" s="38"/>
      <c r="G33" s="58">
        <f t="shared" si="2"/>
        <v>0</v>
      </c>
      <c r="H33" s="35"/>
      <c r="I33" s="35"/>
      <c r="J33" s="35"/>
      <c r="K33" s="35"/>
      <c r="L33" s="35"/>
      <c r="M33" s="35"/>
      <c r="N33" s="35"/>
      <c r="O33" s="35"/>
      <c r="P33" s="35"/>
      <c r="Q33" s="7"/>
    </row>
    <row r="34" spans="1:17">
      <c r="A34" s="2426"/>
      <c r="B34" s="2014"/>
      <c r="C34" s="59">
        <v>2020</v>
      </c>
      <c r="D34" s="39"/>
      <c r="E34" s="38"/>
      <c r="F34" s="38"/>
      <c r="G34" s="58">
        <f t="shared" si="2"/>
        <v>0</v>
      </c>
      <c r="H34" s="35"/>
      <c r="I34" s="35"/>
      <c r="J34" s="35"/>
      <c r="K34" s="35"/>
      <c r="L34" s="35"/>
      <c r="M34" s="35"/>
      <c r="N34" s="35"/>
      <c r="O34" s="35"/>
      <c r="P34" s="35"/>
      <c r="Q34" s="7"/>
    </row>
    <row r="35" spans="1:17" ht="20.25" customHeight="1" thickBot="1">
      <c r="A35" s="2016"/>
      <c r="B35" s="2017"/>
      <c r="C35" s="61" t="s">
        <v>13</v>
      </c>
      <c r="D35" s="46">
        <f>SUM(D28:D34)</f>
        <v>36285</v>
      </c>
      <c r="E35" s="44">
        <f>SUM(E28:E34)</f>
        <v>11062</v>
      </c>
      <c r="F35" s="44">
        <f>SUM(F28:F34)</f>
        <v>20019</v>
      </c>
      <c r="G35" s="48">
        <f t="shared" si="2"/>
        <v>67366</v>
      </c>
      <c r="H35" s="35"/>
      <c r="I35" s="35"/>
      <c r="J35" s="35"/>
      <c r="K35" s="35"/>
      <c r="L35" s="35"/>
      <c r="M35" s="35"/>
      <c r="N35" s="35"/>
      <c r="O35" s="35"/>
      <c r="P35" s="35"/>
      <c r="Q35" s="7"/>
    </row>
    <row r="36" spans="1:17">
      <c r="A36" s="1738"/>
      <c r="B36" s="1738"/>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1544" t="s">
        <v>26</v>
      </c>
      <c r="B39" s="1740" t="s">
        <v>171</v>
      </c>
      <c r="C39" s="68" t="s">
        <v>9</v>
      </c>
      <c r="D39" s="1750" t="s">
        <v>28</v>
      </c>
      <c r="E39" s="70" t="s">
        <v>29</v>
      </c>
      <c r="F39" s="71"/>
      <c r="G39" s="28"/>
      <c r="H39" s="28"/>
    </row>
    <row r="40" spans="1:17">
      <c r="A40" s="2416" t="s">
        <v>568</v>
      </c>
      <c r="B40" s="2386"/>
      <c r="C40" s="72">
        <v>2014</v>
      </c>
      <c r="D40" s="30"/>
      <c r="E40" s="29"/>
      <c r="F40" s="7"/>
      <c r="G40" s="35"/>
      <c r="H40" s="35"/>
    </row>
    <row r="41" spans="1:17">
      <c r="A41" s="2416"/>
      <c r="B41" s="2386"/>
      <c r="C41" s="73">
        <v>2015</v>
      </c>
      <c r="D41" s="37">
        <v>39093</v>
      </c>
      <c r="E41" s="36">
        <v>1422</v>
      </c>
      <c r="F41" s="7"/>
      <c r="G41" s="35"/>
      <c r="H41" s="35"/>
    </row>
    <row r="42" spans="1:17">
      <c r="A42" s="2416"/>
      <c r="B42" s="2386"/>
      <c r="C42" s="73">
        <v>2016</v>
      </c>
      <c r="D42" s="1751">
        <v>16954</v>
      </c>
      <c r="E42" s="1752">
        <v>7930</v>
      </c>
      <c r="F42" s="7"/>
      <c r="G42" s="35"/>
      <c r="H42" s="35"/>
    </row>
    <row r="43" spans="1:17">
      <c r="A43" s="2416"/>
      <c r="B43" s="2386"/>
      <c r="C43" s="73">
        <v>2017</v>
      </c>
      <c r="D43" s="1751">
        <v>21477</v>
      </c>
      <c r="E43" s="1752">
        <v>9590</v>
      </c>
      <c r="F43" s="7"/>
      <c r="G43" s="35"/>
      <c r="H43" s="35"/>
    </row>
    <row r="44" spans="1:17">
      <c r="A44" s="2416"/>
      <c r="B44" s="2386"/>
      <c r="C44" s="73">
        <v>2018</v>
      </c>
      <c r="D44" s="37"/>
      <c r="E44" s="36"/>
      <c r="F44" s="7"/>
      <c r="G44" s="35"/>
      <c r="H44" s="35"/>
    </row>
    <row r="45" spans="1:17">
      <c r="A45" s="2416"/>
      <c r="B45" s="2386"/>
      <c r="C45" s="73">
        <v>2019</v>
      </c>
      <c r="D45" s="37"/>
      <c r="E45" s="36"/>
      <c r="F45" s="7"/>
      <c r="G45" s="35"/>
      <c r="H45" s="35"/>
    </row>
    <row r="46" spans="1:17">
      <c r="A46" s="2416"/>
      <c r="B46" s="2386"/>
      <c r="C46" s="73">
        <v>2020</v>
      </c>
      <c r="D46" s="37"/>
      <c r="E46" s="36"/>
      <c r="F46" s="7"/>
      <c r="G46" s="35"/>
      <c r="H46" s="35"/>
    </row>
    <row r="47" spans="1:17" ht="15.75" thickBot="1">
      <c r="A47" s="2236"/>
      <c r="B47" s="2388"/>
      <c r="C47" s="42" t="s">
        <v>13</v>
      </c>
      <c r="D47" s="43">
        <f>SUM(D40:D46)</f>
        <v>77524</v>
      </c>
      <c r="E47" s="455">
        <f>SUM(E40:E46)</f>
        <v>18942</v>
      </c>
      <c r="F47" s="78"/>
      <c r="G47" s="35"/>
      <c r="H47" s="35"/>
    </row>
    <row r="48" spans="1:17" s="35" customFormat="1" ht="15.75" thickBot="1">
      <c r="A48" s="1595"/>
      <c r="B48" s="80"/>
      <c r="C48" s="81"/>
    </row>
    <row r="49" spans="1:15" ht="83.25" customHeight="1">
      <c r="A49" s="1753" t="s">
        <v>32</v>
      </c>
      <c r="B49" s="1740" t="s">
        <v>171</v>
      </c>
      <c r="C49" s="84" t="s">
        <v>9</v>
      </c>
      <c r="D49" s="1750" t="s">
        <v>34</v>
      </c>
      <c r="E49" s="85" t="s">
        <v>35</v>
      </c>
      <c r="F49" s="85" t="s">
        <v>36</v>
      </c>
      <c r="G49" s="85" t="s">
        <v>37</v>
      </c>
      <c r="H49" s="85" t="s">
        <v>38</v>
      </c>
      <c r="I49" s="85" t="s">
        <v>39</v>
      </c>
      <c r="J49" s="85" t="s">
        <v>40</v>
      </c>
      <c r="K49" s="86" t="s">
        <v>41</v>
      </c>
    </row>
    <row r="50" spans="1:15" ht="17.25" customHeight="1">
      <c r="A50" s="1872"/>
      <c r="B50" s="1879"/>
      <c r="C50" s="87" t="s">
        <v>43</v>
      </c>
      <c r="D50" s="30"/>
      <c r="E50" s="31"/>
      <c r="F50" s="31"/>
      <c r="G50" s="31"/>
      <c r="H50" s="31"/>
      <c r="I50" s="31"/>
      <c r="J50" s="31"/>
      <c r="K50" s="34"/>
    </row>
    <row r="51" spans="1:15" ht="15" customHeight="1">
      <c r="A51" s="2408"/>
      <c r="B51" s="1881"/>
      <c r="C51" s="73">
        <v>2014</v>
      </c>
      <c r="D51" s="37"/>
      <c r="E51" s="38"/>
      <c r="F51" s="38"/>
      <c r="G51" s="38"/>
      <c r="H51" s="38"/>
      <c r="I51" s="38"/>
      <c r="J51" s="38"/>
      <c r="K51" s="88"/>
    </row>
    <row r="52" spans="1:15">
      <c r="A52" s="2408"/>
      <c r="B52" s="1881"/>
      <c r="C52" s="73">
        <v>2015</v>
      </c>
      <c r="D52" s="37"/>
      <c r="E52" s="38"/>
      <c r="F52" s="38"/>
      <c r="G52" s="38"/>
      <c r="H52" s="38"/>
      <c r="I52" s="38"/>
      <c r="J52" s="38"/>
      <c r="K52" s="88"/>
    </row>
    <row r="53" spans="1:15">
      <c r="A53" s="2408"/>
      <c r="B53" s="1881"/>
      <c r="C53" s="73">
        <v>2016</v>
      </c>
      <c r="D53" s="37"/>
      <c r="E53" s="38"/>
      <c r="F53" s="38"/>
      <c r="G53" s="38"/>
      <c r="H53" s="38"/>
      <c r="I53" s="38"/>
      <c r="J53" s="38"/>
      <c r="K53" s="88"/>
    </row>
    <row r="54" spans="1:15">
      <c r="A54" s="2408"/>
      <c r="B54" s="1881"/>
      <c r="C54" s="73">
        <v>2017</v>
      </c>
      <c r="D54" s="37"/>
      <c r="E54" s="38"/>
      <c r="F54" s="38"/>
      <c r="G54" s="38"/>
      <c r="H54" s="38"/>
      <c r="I54" s="38"/>
      <c r="J54" s="38"/>
      <c r="K54" s="88"/>
    </row>
    <row r="55" spans="1:15">
      <c r="A55" s="2408"/>
      <c r="B55" s="1881"/>
      <c r="C55" s="73">
        <v>2018</v>
      </c>
      <c r="D55" s="37"/>
      <c r="E55" s="38"/>
      <c r="F55" s="38"/>
      <c r="G55" s="38"/>
      <c r="H55" s="38"/>
      <c r="I55" s="38"/>
      <c r="J55" s="38"/>
      <c r="K55" s="88"/>
    </row>
    <row r="56" spans="1:15">
      <c r="A56" s="2408"/>
      <c r="B56" s="1881"/>
      <c r="C56" s="73">
        <v>2019</v>
      </c>
      <c r="D56" s="37"/>
      <c r="E56" s="38"/>
      <c r="F56" s="38"/>
      <c r="G56" s="38"/>
      <c r="H56" s="38"/>
      <c r="I56" s="38"/>
      <c r="J56" s="38"/>
      <c r="K56" s="88"/>
    </row>
    <row r="57" spans="1:15">
      <c r="A57" s="2408"/>
      <c r="B57" s="1881"/>
      <c r="C57" s="73">
        <v>2020</v>
      </c>
      <c r="D57" s="37"/>
      <c r="E57" s="38"/>
      <c r="F57" s="38"/>
      <c r="G57" s="38"/>
      <c r="H57" s="38"/>
      <c r="I57" s="38"/>
      <c r="J57" s="38"/>
      <c r="K57" s="93"/>
    </row>
    <row r="58" spans="1:15" ht="20.25" customHeight="1" thickBot="1">
      <c r="A58" s="1876"/>
      <c r="B58" s="1883"/>
      <c r="C58" s="42" t="s">
        <v>13</v>
      </c>
      <c r="D58" s="43">
        <f>SUM(D51:D57)</f>
        <v>0</v>
      </c>
      <c r="E58" s="44">
        <f>SUM(E51:E57)</f>
        <v>0</v>
      </c>
      <c r="F58" s="44">
        <f>SUM(F51:F57)</f>
        <v>0</v>
      </c>
      <c r="G58" s="44">
        <f>SUM(G51:G57)</f>
        <v>0</v>
      </c>
      <c r="H58" s="44">
        <f>SUM(H51:H57)</f>
        <v>0</v>
      </c>
      <c r="I58" s="44">
        <f t="shared" ref="I58" si="3">SUM(I51:I57)</f>
        <v>0</v>
      </c>
      <c r="J58" s="44">
        <f>SUM(J51:J57)</f>
        <v>0</v>
      </c>
      <c r="K58" s="48">
        <f>SUM(K50:K56)</f>
        <v>0</v>
      </c>
    </row>
    <row r="59" spans="1:15" ht="15.75" thickBot="1"/>
    <row r="60" spans="1:15" ht="21" customHeight="1">
      <c r="A60" s="2427" t="s">
        <v>44</v>
      </c>
      <c r="B60" s="1616"/>
      <c r="C60" s="2429" t="s">
        <v>9</v>
      </c>
      <c r="D60" s="2417" t="s">
        <v>45</v>
      </c>
      <c r="E60" s="1541" t="s">
        <v>6</v>
      </c>
      <c r="F60" s="1542"/>
      <c r="G60" s="1542"/>
      <c r="H60" s="1542"/>
      <c r="I60" s="1542"/>
      <c r="J60" s="1542"/>
      <c r="K60" s="1542"/>
      <c r="L60" s="1543"/>
    </row>
    <row r="61" spans="1:15" ht="115.5" customHeight="1">
      <c r="A61" s="2428"/>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2399" t="s">
        <v>569</v>
      </c>
      <c r="B62" s="1899"/>
      <c r="C62" s="106">
        <v>2014</v>
      </c>
      <c r="D62" s="107"/>
      <c r="E62" s="108"/>
      <c r="F62" s="109"/>
      <c r="G62" s="109"/>
      <c r="H62" s="109"/>
      <c r="I62" s="109"/>
      <c r="J62" s="109"/>
      <c r="K62" s="109"/>
      <c r="L62" s="34"/>
      <c r="M62" s="7"/>
      <c r="N62" s="7"/>
      <c r="O62" s="7"/>
    </row>
    <row r="63" spans="1:15">
      <c r="A63" s="2395"/>
      <c r="B63" s="1899"/>
      <c r="C63" s="110">
        <v>2015</v>
      </c>
      <c r="D63" s="111"/>
      <c r="E63" s="112"/>
      <c r="F63" s="38"/>
      <c r="G63" s="38"/>
      <c r="H63" s="38"/>
      <c r="I63" s="38"/>
      <c r="J63" s="38"/>
      <c r="K63" s="38"/>
      <c r="L63" s="88"/>
      <c r="M63" s="7"/>
      <c r="N63" s="7"/>
      <c r="O63" s="7"/>
    </row>
    <row r="64" spans="1:15">
      <c r="A64" s="2395"/>
      <c r="B64" s="1899"/>
      <c r="C64" s="110">
        <v>2016</v>
      </c>
      <c r="D64" s="111"/>
      <c r="E64" s="112"/>
      <c r="F64" s="38"/>
      <c r="G64" s="38"/>
      <c r="H64" s="38"/>
      <c r="I64" s="38"/>
      <c r="J64" s="38"/>
      <c r="K64" s="38"/>
      <c r="L64" s="88"/>
      <c r="M64" s="7"/>
      <c r="N64" s="7"/>
      <c r="O64" s="7"/>
    </row>
    <row r="65" spans="1:20">
      <c r="A65" s="2395"/>
      <c r="B65" s="1899"/>
      <c r="C65" s="110">
        <v>2017</v>
      </c>
      <c r="D65" s="111">
        <v>1000</v>
      </c>
      <c r="E65" s="112">
        <v>1000</v>
      </c>
      <c r="F65" s="38"/>
      <c r="G65" s="38"/>
      <c r="H65" s="38"/>
      <c r="I65" s="38"/>
      <c r="J65" s="38"/>
      <c r="K65" s="38"/>
      <c r="L65" s="88"/>
      <c r="M65" s="7"/>
      <c r="N65" s="7"/>
      <c r="O65" s="7"/>
    </row>
    <row r="66" spans="1:20">
      <c r="A66" s="2395"/>
      <c r="B66" s="1899"/>
      <c r="C66" s="110">
        <v>2018</v>
      </c>
      <c r="D66" s="111"/>
      <c r="E66" s="112"/>
      <c r="F66" s="38"/>
      <c r="G66" s="38"/>
      <c r="H66" s="38"/>
      <c r="I66" s="38"/>
      <c r="J66" s="38"/>
      <c r="K66" s="38"/>
      <c r="L66" s="88"/>
      <c r="M66" s="7"/>
      <c r="N66" s="7"/>
      <c r="O66" s="7"/>
    </row>
    <row r="67" spans="1:20" ht="17.25" customHeight="1">
      <c r="A67" s="2395"/>
      <c r="B67" s="1899"/>
      <c r="C67" s="110">
        <v>2019</v>
      </c>
      <c r="D67" s="111"/>
      <c r="E67" s="112"/>
      <c r="F67" s="38"/>
      <c r="G67" s="38"/>
      <c r="H67" s="38"/>
      <c r="I67" s="38"/>
      <c r="J67" s="38"/>
      <c r="K67" s="38"/>
      <c r="L67" s="88"/>
      <c r="M67" s="7"/>
      <c r="N67" s="7"/>
      <c r="O67" s="7"/>
    </row>
    <row r="68" spans="1:20" ht="16.5" customHeight="1">
      <c r="A68" s="2395"/>
      <c r="B68" s="1899"/>
      <c r="C68" s="110">
        <v>2020</v>
      </c>
      <c r="D68" s="111"/>
      <c r="E68" s="112"/>
      <c r="F68" s="38"/>
      <c r="G68" s="38"/>
      <c r="H68" s="38"/>
      <c r="I68" s="38"/>
      <c r="J68" s="38"/>
      <c r="K68" s="38"/>
      <c r="L68" s="88"/>
      <c r="M68" s="78"/>
      <c r="N68" s="78"/>
      <c r="O68" s="78"/>
    </row>
    <row r="69" spans="1:20" ht="18" customHeight="1" thickBot="1">
      <c r="A69" s="1980"/>
      <c r="B69" s="1900"/>
      <c r="C69" s="113" t="s">
        <v>13</v>
      </c>
      <c r="D69" s="114">
        <f>SUM(D62:D68)</f>
        <v>1000</v>
      </c>
      <c r="E69" s="115">
        <f>SUM(E62:E68)</f>
        <v>1000</v>
      </c>
      <c r="F69" s="116">
        <f t="shared" ref="F69:I69" si="4">SUM(F62:F68)</f>
        <v>0</v>
      </c>
      <c r="G69" s="116">
        <f t="shared" si="4"/>
        <v>0</v>
      </c>
      <c r="H69" s="116">
        <f t="shared" si="4"/>
        <v>0</v>
      </c>
      <c r="I69" s="116">
        <f t="shared" si="4"/>
        <v>0</v>
      </c>
      <c r="J69" s="116"/>
      <c r="K69" s="116">
        <f>SUM(K62:K68)</f>
        <v>0</v>
      </c>
      <c r="L69" s="117">
        <f>SUM(L62:L68)</f>
        <v>0</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1544" t="s">
        <v>47</v>
      </c>
      <c r="B71" s="1740" t="s">
        <v>171</v>
      </c>
      <c r="C71" s="68" t="s">
        <v>9</v>
      </c>
      <c r="D71" s="123" t="s">
        <v>49</v>
      </c>
      <c r="E71" s="123" t="s">
        <v>50</v>
      </c>
      <c r="F71" s="124" t="s">
        <v>51</v>
      </c>
      <c r="G71" s="1754" t="s">
        <v>52</v>
      </c>
      <c r="H71" s="126" t="s">
        <v>14</v>
      </c>
      <c r="I71" s="127" t="s">
        <v>15</v>
      </c>
      <c r="J71" s="128" t="s">
        <v>16</v>
      </c>
      <c r="K71" s="127" t="s">
        <v>17</v>
      </c>
      <c r="L71" s="127" t="s">
        <v>18</v>
      </c>
      <c r="M71" s="129" t="s">
        <v>19</v>
      </c>
      <c r="N71" s="128" t="s">
        <v>20</v>
      </c>
      <c r="O71" s="130" t="s">
        <v>21</v>
      </c>
    </row>
    <row r="72" spans="1:20" ht="15" customHeight="1">
      <c r="A72" s="2408" t="s">
        <v>570</v>
      </c>
      <c r="B72" s="1899"/>
      <c r="C72" s="72">
        <v>2014</v>
      </c>
      <c r="D72" s="131"/>
      <c r="E72" s="131"/>
      <c r="F72" s="131"/>
      <c r="G72" s="132">
        <f>SUM(D72:F72)</f>
        <v>0</v>
      </c>
      <c r="H72" s="30"/>
      <c r="I72" s="133"/>
      <c r="J72" s="109"/>
      <c r="K72" s="109"/>
      <c r="L72" s="109"/>
      <c r="M72" s="109"/>
      <c r="N72" s="109"/>
      <c r="O72" s="134"/>
    </row>
    <row r="73" spans="1:20">
      <c r="A73" s="2378"/>
      <c r="B73" s="1899"/>
      <c r="C73" s="73">
        <v>2015</v>
      </c>
      <c r="D73" s="135">
        <v>2</v>
      </c>
      <c r="E73" s="135"/>
      <c r="F73" s="135"/>
      <c r="G73" s="132">
        <f t="shared" ref="G73:G78" si="5">SUM(D73:F73)</f>
        <v>2</v>
      </c>
      <c r="H73" s="37"/>
      <c r="I73" s="37"/>
      <c r="J73" s="38"/>
      <c r="K73" s="38">
        <v>2</v>
      </c>
      <c r="L73" s="38"/>
      <c r="M73" s="38"/>
      <c r="N73" s="38"/>
      <c r="O73" s="88"/>
    </row>
    <row r="74" spans="1:20">
      <c r="A74" s="2378"/>
      <c r="B74" s="1899"/>
      <c r="C74" s="73">
        <v>2016</v>
      </c>
      <c r="D74" s="135"/>
      <c r="E74" s="135"/>
      <c r="F74" s="135"/>
      <c r="G74" s="132">
        <f t="shared" si="5"/>
        <v>0</v>
      </c>
      <c r="H74" s="37"/>
      <c r="I74" s="37"/>
      <c r="J74" s="38"/>
      <c r="K74" s="38"/>
      <c r="L74" s="38"/>
      <c r="M74" s="38"/>
      <c r="N74" s="38"/>
      <c r="O74" s="88"/>
    </row>
    <row r="75" spans="1:20">
      <c r="A75" s="2378"/>
      <c r="B75" s="1899"/>
      <c r="C75" s="73">
        <v>2017</v>
      </c>
      <c r="D75" s="135">
        <v>6</v>
      </c>
      <c r="E75" s="135"/>
      <c r="F75" s="135"/>
      <c r="G75" s="132">
        <f t="shared" si="5"/>
        <v>6</v>
      </c>
      <c r="H75" s="37"/>
      <c r="I75" s="37"/>
      <c r="J75" s="38"/>
      <c r="K75" s="38">
        <v>6</v>
      </c>
      <c r="L75" s="38"/>
      <c r="M75" s="38"/>
      <c r="N75" s="38"/>
      <c r="O75" s="88"/>
    </row>
    <row r="76" spans="1:20">
      <c r="A76" s="2378"/>
      <c r="B76" s="1899"/>
      <c r="C76" s="73">
        <v>2018</v>
      </c>
      <c r="D76" s="135"/>
      <c r="E76" s="135"/>
      <c r="F76" s="135"/>
      <c r="G76" s="132">
        <f t="shared" si="5"/>
        <v>0</v>
      </c>
      <c r="H76" s="37"/>
      <c r="I76" s="37"/>
      <c r="J76" s="38"/>
      <c r="K76" s="38"/>
      <c r="L76" s="38"/>
      <c r="M76" s="38"/>
      <c r="N76" s="38"/>
      <c r="O76" s="88"/>
    </row>
    <row r="77" spans="1:20" ht="15.75" customHeight="1">
      <c r="A77" s="2378"/>
      <c r="B77" s="1899"/>
      <c r="C77" s="73">
        <v>2019</v>
      </c>
      <c r="D77" s="135"/>
      <c r="E77" s="135"/>
      <c r="F77" s="135"/>
      <c r="G77" s="132">
        <f t="shared" si="5"/>
        <v>0</v>
      </c>
      <c r="H77" s="37"/>
      <c r="I77" s="37"/>
      <c r="J77" s="38"/>
      <c r="K77" s="38"/>
      <c r="L77" s="38"/>
      <c r="M77" s="38"/>
      <c r="N77" s="38"/>
      <c r="O77" s="88"/>
    </row>
    <row r="78" spans="1:20" ht="17.25" customHeight="1">
      <c r="A78" s="2378"/>
      <c r="B78" s="1899"/>
      <c r="C78" s="73">
        <v>2020</v>
      </c>
      <c r="D78" s="135"/>
      <c r="E78" s="135"/>
      <c r="F78" s="135"/>
      <c r="G78" s="132">
        <f t="shared" si="5"/>
        <v>0</v>
      </c>
      <c r="H78" s="37"/>
      <c r="I78" s="37"/>
      <c r="J78" s="38"/>
      <c r="K78" s="38"/>
      <c r="L78" s="38"/>
      <c r="M78" s="38"/>
      <c r="N78" s="38"/>
      <c r="O78" s="88"/>
    </row>
    <row r="79" spans="1:20" ht="20.25" customHeight="1" thickBot="1">
      <c r="A79" s="1980"/>
      <c r="B79" s="1900"/>
      <c r="C79" s="136" t="s">
        <v>13</v>
      </c>
      <c r="D79" s="114">
        <f>SUM(D72:D78)</f>
        <v>8</v>
      </c>
      <c r="E79" s="114">
        <f>SUM(E72:E78)</f>
        <v>0</v>
      </c>
      <c r="F79" s="114">
        <f>SUM(F72:F78)</f>
        <v>0</v>
      </c>
      <c r="G79" s="137">
        <f>SUM(G72:G78)</f>
        <v>8</v>
      </c>
      <c r="H79" s="138">
        <v>0</v>
      </c>
      <c r="I79" s="139">
        <f t="shared" ref="I79:O79" si="6">SUM(I72:I78)</f>
        <v>0</v>
      </c>
      <c r="J79" s="116">
        <f t="shared" si="6"/>
        <v>0</v>
      </c>
      <c r="K79" s="116">
        <f t="shared" si="6"/>
        <v>8</v>
      </c>
      <c r="L79" s="116">
        <f t="shared" si="6"/>
        <v>0</v>
      </c>
      <c r="M79" s="116">
        <f t="shared" si="6"/>
        <v>0</v>
      </c>
      <c r="N79" s="116">
        <f t="shared" si="6"/>
        <v>0</v>
      </c>
      <c r="O79" s="117">
        <f t="shared" si="6"/>
        <v>0</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1546" t="s">
        <v>56</v>
      </c>
      <c r="B84" s="1547" t="s">
        <v>178</v>
      </c>
      <c r="C84" s="149" t="s">
        <v>9</v>
      </c>
      <c r="D84" s="1755" t="s">
        <v>58</v>
      </c>
      <c r="E84" s="151" t="s">
        <v>59</v>
      </c>
      <c r="F84" s="152" t="s">
        <v>60</v>
      </c>
      <c r="G84" s="152" t="s">
        <v>61</v>
      </c>
      <c r="H84" s="152" t="s">
        <v>62</v>
      </c>
      <c r="I84" s="152" t="s">
        <v>63</v>
      </c>
      <c r="J84" s="152" t="s">
        <v>64</v>
      </c>
      <c r="K84" s="153" t="s">
        <v>65</v>
      </c>
    </row>
    <row r="85" spans="1:16" ht="15" customHeight="1">
      <c r="A85" s="2415"/>
      <c r="B85" s="1899"/>
      <c r="C85" s="72">
        <v>2014</v>
      </c>
      <c r="D85" s="154"/>
      <c r="E85" s="155"/>
      <c r="F85" s="31"/>
      <c r="G85" s="31"/>
      <c r="H85" s="31"/>
      <c r="I85" s="31"/>
      <c r="J85" s="31"/>
      <c r="K85" s="34"/>
    </row>
    <row r="86" spans="1:16">
      <c r="A86" s="2416"/>
      <c r="B86" s="1899"/>
      <c r="C86" s="73">
        <v>2015</v>
      </c>
      <c r="D86" s="156"/>
      <c r="E86" s="112"/>
      <c r="F86" s="38"/>
      <c r="G86" s="38"/>
      <c r="H86" s="38"/>
      <c r="I86" s="38"/>
      <c r="J86" s="38"/>
      <c r="K86" s="88"/>
    </row>
    <row r="87" spans="1:16">
      <c r="A87" s="2416"/>
      <c r="B87" s="1899"/>
      <c r="C87" s="73">
        <v>2016</v>
      </c>
      <c r="D87" s="156"/>
      <c r="E87" s="112"/>
      <c r="F87" s="38"/>
      <c r="G87" s="38"/>
      <c r="H87" s="38"/>
      <c r="I87" s="38"/>
      <c r="J87" s="38"/>
      <c r="K87" s="88"/>
    </row>
    <row r="88" spans="1:16">
      <c r="A88" s="2416"/>
      <c r="B88" s="1899"/>
      <c r="C88" s="73">
        <v>2017</v>
      </c>
      <c r="D88" s="156"/>
      <c r="E88" s="112"/>
      <c r="F88" s="38"/>
      <c r="G88" s="38"/>
      <c r="H88" s="38"/>
      <c r="I88" s="38"/>
      <c r="J88" s="38"/>
      <c r="K88" s="88"/>
    </row>
    <row r="89" spans="1:16">
      <c r="A89" s="2416"/>
      <c r="B89" s="1899"/>
      <c r="C89" s="73">
        <v>2018</v>
      </c>
      <c r="D89" s="156"/>
      <c r="E89" s="112"/>
      <c r="F89" s="38"/>
      <c r="G89" s="38"/>
      <c r="H89" s="38"/>
      <c r="I89" s="38"/>
      <c r="J89" s="38"/>
      <c r="K89" s="88"/>
    </row>
    <row r="90" spans="1:16">
      <c r="A90" s="2416"/>
      <c r="B90" s="1899"/>
      <c r="C90" s="73">
        <v>2019</v>
      </c>
      <c r="D90" s="156"/>
      <c r="E90" s="112"/>
      <c r="F90" s="38"/>
      <c r="G90" s="38"/>
      <c r="H90" s="38"/>
      <c r="I90" s="38"/>
      <c r="J90" s="38"/>
      <c r="K90" s="88"/>
    </row>
    <row r="91" spans="1:16">
      <c r="A91" s="2416"/>
      <c r="B91" s="1899"/>
      <c r="C91" s="73">
        <v>2020</v>
      </c>
      <c r="D91" s="156"/>
      <c r="E91" s="112"/>
      <c r="F91" s="38"/>
      <c r="G91" s="38"/>
      <c r="H91" s="38"/>
      <c r="I91" s="38"/>
      <c r="J91" s="38"/>
      <c r="K91" s="88"/>
    </row>
    <row r="92" spans="1:16" ht="18" customHeight="1" thickBot="1">
      <c r="A92" s="1940"/>
      <c r="B92" s="1900"/>
      <c r="C92" s="136" t="s">
        <v>13</v>
      </c>
      <c r="D92" s="157">
        <f t="shared" ref="D92:I92" si="7">SUM(D85:D91)</f>
        <v>0</v>
      </c>
      <c r="E92" s="115">
        <f t="shared" si="7"/>
        <v>0</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405" t="s">
        <v>68</v>
      </c>
      <c r="B96" s="2407" t="s">
        <v>179</v>
      </c>
      <c r="C96" s="2413" t="s">
        <v>9</v>
      </c>
      <c r="D96" s="2411" t="s">
        <v>70</v>
      </c>
      <c r="E96" s="2412"/>
      <c r="F96" s="1756" t="s">
        <v>71</v>
      </c>
      <c r="G96" s="1548"/>
      <c r="H96" s="1548"/>
      <c r="I96" s="1548"/>
      <c r="J96" s="1548"/>
      <c r="K96" s="1548"/>
      <c r="L96" s="1548"/>
      <c r="M96" s="1549"/>
      <c r="N96" s="165"/>
      <c r="O96" s="165"/>
      <c r="P96" s="165"/>
    </row>
    <row r="97" spans="1:16" ht="100.5" customHeight="1">
      <c r="A97" s="2406"/>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2399" t="s">
        <v>571</v>
      </c>
      <c r="B98" s="1899"/>
      <c r="C98" s="106">
        <v>2014</v>
      </c>
      <c r="D98" s="30"/>
      <c r="E98" s="31"/>
      <c r="F98" s="174"/>
      <c r="G98" s="175"/>
      <c r="H98" s="175"/>
      <c r="I98" s="175"/>
      <c r="J98" s="175"/>
      <c r="K98" s="175"/>
      <c r="L98" s="175"/>
      <c r="M98" s="176"/>
      <c r="N98" s="165"/>
      <c r="O98" s="165"/>
      <c r="P98" s="165"/>
    </row>
    <row r="99" spans="1:16" ht="16.5" customHeight="1">
      <c r="A99" s="2395"/>
      <c r="B99" s="1899"/>
      <c r="C99" s="110">
        <v>2015</v>
      </c>
      <c r="D99" s="37">
        <v>1</v>
      </c>
      <c r="E99" s="38">
        <v>2</v>
      </c>
      <c r="F99" s="177"/>
      <c r="G99" s="178"/>
      <c r="H99" s="178"/>
      <c r="I99" s="178"/>
      <c r="J99" s="178"/>
      <c r="K99" s="178"/>
      <c r="L99" s="178"/>
      <c r="M99" s="179">
        <v>1</v>
      </c>
      <c r="N99" s="165"/>
      <c r="O99" s="165"/>
      <c r="P99" s="165"/>
    </row>
    <row r="100" spans="1:16" ht="16.5" customHeight="1">
      <c r="A100" s="2395"/>
      <c r="B100" s="1899"/>
      <c r="C100" s="110">
        <v>2016</v>
      </c>
      <c r="D100" s="1757">
        <v>1</v>
      </c>
      <c r="E100" s="578">
        <v>6</v>
      </c>
      <c r="F100" s="177"/>
      <c r="G100" s="178"/>
      <c r="H100" s="178"/>
      <c r="I100" s="178"/>
      <c r="J100" s="178"/>
      <c r="K100" s="178"/>
      <c r="L100" s="178"/>
      <c r="M100" s="179">
        <v>1</v>
      </c>
      <c r="N100" s="165"/>
      <c r="O100" s="165"/>
      <c r="P100" s="165"/>
    </row>
    <row r="101" spans="1:16" ht="16.5" customHeight="1">
      <c r="A101" s="2395"/>
      <c r="B101" s="1899"/>
      <c r="C101" s="110">
        <v>2017</v>
      </c>
      <c r="D101" s="37">
        <v>1</v>
      </c>
      <c r="E101" s="38">
        <v>4</v>
      </c>
      <c r="F101" s="177"/>
      <c r="G101" s="178"/>
      <c r="H101" s="178"/>
      <c r="I101" s="178"/>
      <c r="J101" s="178"/>
      <c r="K101" s="178"/>
      <c r="L101" s="178"/>
      <c r="M101" s="179">
        <v>1</v>
      </c>
      <c r="N101" s="165"/>
      <c r="O101" s="165"/>
      <c r="P101" s="165"/>
    </row>
    <row r="102" spans="1:16" ht="15.75" customHeight="1">
      <c r="A102" s="2395"/>
      <c r="B102" s="1899"/>
      <c r="C102" s="110">
        <v>2018</v>
      </c>
      <c r="D102" s="37"/>
      <c r="E102" s="38"/>
      <c r="F102" s="177"/>
      <c r="G102" s="178"/>
      <c r="H102" s="178"/>
      <c r="I102" s="178"/>
      <c r="J102" s="178"/>
      <c r="K102" s="178"/>
      <c r="L102" s="178"/>
      <c r="M102" s="179"/>
      <c r="N102" s="165"/>
      <c r="O102" s="165"/>
      <c r="P102" s="165"/>
    </row>
    <row r="103" spans="1:16" ht="14.25" customHeight="1">
      <c r="A103" s="2395"/>
      <c r="B103" s="1899"/>
      <c r="C103" s="110">
        <v>2019</v>
      </c>
      <c r="D103" s="37"/>
      <c r="E103" s="38"/>
      <c r="F103" s="177"/>
      <c r="G103" s="178"/>
      <c r="H103" s="178"/>
      <c r="I103" s="178"/>
      <c r="J103" s="178"/>
      <c r="K103" s="178"/>
      <c r="L103" s="178"/>
      <c r="M103" s="179"/>
      <c r="N103" s="165"/>
      <c r="O103" s="165"/>
      <c r="P103" s="165"/>
    </row>
    <row r="104" spans="1:16" ht="14.25" customHeight="1">
      <c r="A104" s="2395"/>
      <c r="B104" s="1899"/>
      <c r="C104" s="110">
        <v>2020</v>
      </c>
      <c r="D104" s="37"/>
      <c r="E104" s="38"/>
      <c r="F104" s="177"/>
      <c r="G104" s="178"/>
      <c r="H104" s="178"/>
      <c r="I104" s="178"/>
      <c r="J104" s="178"/>
      <c r="K104" s="178"/>
      <c r="L104" s="178"/>
      <c r="M104" s="179"/>
      <c r="N104" s="165"/>
      <c r="O104" s="165"/>
      <c r="P104" s="165"/>
    </row>
    <row r="105" spans="1:16" ht="19.5" customHeight="1" thickBot="1">
      <c r="A105" s="1915"/>
      <c r="B105" s="1900"/>
      <c r="C105" s="113" t="s">
        <v>13</v>
      </c>
      <c r="D105" s="139">
        <f>SUM(D98:D104)</f>
        <v>3</v>
      </c>
      <c r="E105" s="116">
        <f t="shared" ref="E105:K105" si="8">SUM(E98:E104)</f>
        <v>12</v>
      </c>
      <c r="F105" s="180">
        <f t="shared" si="8"/>
        <v>0</v>
      </c>
      <c r="G105" s="181">
        <f t="shared" si="8"/>
        <v>0</v>
      </c>
      <c r="H105" s="181">
        <f t="shared" si="8"/>
        <v>0</v>
      </c>
      <c r="I105" s="181">
        <f>SUM(I98:I104)</f>
        <v>0</v>
      </c>
      <c r="J105" s="181">
        <f t="shared" si="8"/>
        <v>0</v>
      </c>
      <c r="K105" s="181">
        <f t="shared" si="8"/>
        <v>0</v>
      </c>
      <c r="L105" s="181">
        <f>SUM(L98:L104)</f>
        <v>0</v>
      </c>
      <c r="M105" s="182">
        <v>1</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405" t="s">
        <v>77</v>
      </c>
      <c r="B107" s="2407" t="s">
        <v>179</v>
      </c>
      <c r="C107" s="2413" t="s">
        <v>9</v>
      </c>
      <c r="D107" s="2414" t="s">
        <v>78</v>
      </c>
      <c r="E107" s="1756" t="s">
        <v>79</v>
      </c>
      <c r="F107" s="1548"/>
      <c r="G107" s="1548"/>
      <c r="H107" s="1548"/>
      <c r="I107" s="1548"/>
      <c r="J107" s="1548"/>
      <c r="K107" s="1548"/>
      <c r="L107" s="1549"/>
      <c r="M107" s="185"/>
      <c r="N107" s="185"/>
    </row>
    <row r="108" spans="1:16" ht="103.5" customHeight="1">
      <c r="A108" s="2406"/>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2399"/>
      <c r="B109" s="1899"/>
      <c r="C109" s="106">
        <v>2014</v>
      </c>
      <c r="D109" s="31"/>
      <c r="E109" s="174"/>
      <c r="F109" s="175"/>
      <c r="G109" s="175"/>
      <c r="H109" s="175"/>
      <c r="I109" s="175"/>
      <c r="J109" s="175"/>
      <c r="K109" s="175"/>
      <c r="L109" s="176"/>
      <c r="M109" s="185"/>
      <c r="N109" s="185"/>
    </row>
    <row r="110" spans="1:16">
      <c r="A110" s="2395"/>
      <c r="B110" s="1899"/>
      <c r="C110" s="110">
        <v>2015</v>
      </c>
      <c r="D110" s="38"/>
      <c r="E110" s="177"/>
      <c r="F110" s="178"/>
      <c r="G110" s="178"/>
      <c r="H110" s="178"/>
      <c r="I110" s="178"/>
      <c r="J110" s="178"/>
      <c r="K110" s="178"/>
      <c r="L110" s="179"/>
      <c r="M110" s="185"/>
      <c r="N110" s="185"/>
    </row>
    <row r="111" spans="1:16">
      <c r="A111" s="2395"/>
      <c r="B111" s="1899"/>
      <c r="C111" s="110">
        <v>2016</v>
      </c>
      <c r="D111" s="38"/>
      <c r="E111" s="177"/>
      <c r="F111" s="178"/>
      <c r="G111" s="178"/>
      <c r="H111" s="178"/>
      <c r="I111" s="178"/>
      <c r="J111" s="178"/>
      <c r="K111" s="178"/>
      <c r="L111" s="179"/>
      <c r="M111" s="185"/>
      <c r="N111" s="185"/>
    </row>
    <row r="112" spans="1:16">
      <c r="A112" s="2395"/>
      <c r="B112" s="1899"/>
      <c r="C112" s="110">
        <v>2017</v>
      </c>
      <c r="D112" s="38"/>
      <c r="E112" s="177"/>
      <c r="F112" s="178"/>
      <c r="G112" s="178"/>
      <c r="H112" s="178"/>
      <c r="I112" s="178"/>
      <c r="J112" s="178"/>
      <c r="K112" s="178"/>
      <c r="L112" s="179"/>
      <c r="M112" s="185"/>
      <c r="N112" s="185"/>
    </row>
    <row r="113" spans="1:14">
      <c r="A113" s="2395"/>
      <c r="B113" s="1899"/>
      <c r="C113" s="110">
        <v>2018</v>
      </c>
      <c r="D113" s="38"/>
      <c r="E113" s="177"/>
      <c r="F113" s="178"/>
      <c r="G113" s="178"/>
      <c r="H113" s="178"/>
      <c r="I113" s="178"/>
      <c r="J113" s="178"/>
      <c r="K113" s="178"/>
      <c r="L113" s="179"/>
      <c r="M113" s="185"/>
      <c r="N113" s="185"/>
    </row>
    <row r="114" spans="1:14">
      <c r="A114" s="2395"/>
      <c r="B114" s="1899"/>
      <c r="C114" s="110">
        <v>2019</v>
      </c>
      <c r="D114" s="38"/>
      <c r="E114" s="177"/>
      <c r="F114" s="178"/>
      <c r="G114" s="178"/>
      <c r="H114" s="178"/>
      <c r="I114" s="178"/>
      <c r="J114" s="178"/>
      <c r="K114" s="178"/>
      <c r="L114" s="179"/>
      <c r="M114" s="185"/>
      <c r="N114" s="185"/>
    </row>
    <row r="115" spans="1:14">
      <c r="A115" s="2395"/>
      <c r="B115" s="1899"/>
      <c r="C115" s="110">
        <v>2020</v>
      </c>
      <c r="D115" s="38"/>
      <c r="E115" s="177"/>
      <c r="F115" s="178"/>
      <c r="G115" s="178"/>
      <c r="H115" s="178"/>
      <c r="I115" s="178"/>
      <c r="J115" s="178"/>
      <c r="K115" s="178"/>
      <c r="L115" s="179"/>
      <c r="M115" s="185"/>
      <c r="N115" s="185"/>
    </row>
    <row r="116" spans="1:14" ht="25.5" customHeight="1" thickBot="1">
      <c r="A116" s="1915"/>
      <c r="B116" s="1900"/>
      <c r="C116" s="113" t="s">
        <v>13</v>
      </c>
      <c r="D116" s="116">
        <f t="shared" ref="D116:I116" si="9">SUM(D109:D115)</f>
        <v>0</v>
      </c>
      <c r="E116" s="180">
        <f t="shared" si="9"/>
        <v>0</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405" t="s">
        <v>81</v>
      </c>
      <c r="B118" s="2407" t="s">
        <v>179</v>
      </c>
      <c r="C118" s="2413" t="s">
        <v>9</v>
      </c>
      <c r="D118" s="2414" t="s">
        <v>82</v>
      </c>
      <c r="E118" s="1756" t="s">
        <v>79</v>
      </c>
      <c r="F118" s="1548"/>
      <c r="G118" s="1548"/>
      <c r="H118" s="1548"/>
      <c r="I118" s="1548"/>
      <c r="J118" s="1548"/>
      <c r="K118" s="1548"/>
      <c r="L118" s="1549"/>
      <c r="M118" s="185"/>
      <c r="N118" s="185"/>
    </row>
    <row r="119" spans="1:14" ht="120.75" customHeight="1">
      <c r="A119" s="2406"/>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2399"/>
      <c r="B120" s="1899"/>
      <c r="C120" s="106">
        <v>2014</v>
      </c>
      <c r="D120" s="31"/>
      <c r="E120" s="174"/>
      <c r="F120" s="175"/>
      <c r="G120" s="175"/>
      <c r="H120" s="175"/>
      <c r="I120" s="175"/>
      <c r="J120" s="175"/>
      <c r="K120" s="175"/>
      <c r="L120" s="176"/>
      <c r="M120" s="185"/>
      <c r="N120" s="185"/>
    </row>
    <row r="121" spans="1:14">
      <c r="A121" s="2395"/>
      <c r="B121" s="1899"/>
      <c r="C121" s="110">
        <v>2015</v>
      </c>
      <c r="D121" s="38"/>
      <c r="E121" s="177"/>
      <c r="F121" s="178"/>
      <c r="G121" s="178"/>
      <c r="H121" s="178"/>
      <c r="I121" s="178"/>
      <c r="J121" s="178"/>
      <c r="K121" s="178"/>
      <c r="L121" s="179"/>
      <c r="M121" s="185"/>
      <c r="N121" s="185"/>
    </row>
    <row r="122" spans="1:14">
      <c r="A122" s="2395"/>
      <c r="B122" s="1899"/>
      <c r="C122" s="110">
        <v>2016</v>
      </c>
      <c r="D122" s="38"/>
      <c r="E122" s="177"/>
      <c r="F122" s="178"/>
      <c r="G122" s="178"/>
      <c r="H122" s="178"/>
      <c r="I122" s="178"/>
      <c r="J122" s="178"/>
      <c r="K122" s="178"/>
      <c r="L122" s="179"/>
      <c r="M122" s="185"/>
      <c r="N122" s="185"/>
    </row>
    <row r="123" spans="1:14">
      <c r="A123" s="2395"/>
      <c r="B123" s="1899"/>
      <c r="C123" s="110">
        <v>2017</v>
      </c>
      <c r="D123" s="38"/>
      <c r="E123" s="177"/>
      <c r="F123" s="178"/>
      <c r="G123" s="178"/>
      <c r="H123" s="178"/>
      <c r="I123" s="178"/>
      <c r="J123" s="178"/>
      <c r="K123" s="178"/>
      <c r="L123" s="179"/>
      <c r="M123" s="185"/>
      <c r="N123" s="185"/>
    </row>
    <row r="124" spans="1:14">
      <c r="A124" s="2395"/>
      <c r="B124" s="1899"/>
      <c r="C124" s="110">
        <v>2018</v>
      </c>
      <c r="D124" s="38"/>
      <c r="E124" s="177"/>
      <c r="F124" s="178"/>
      <c r="G124" s="178"/>
      <c r="H124" s="178"/>
      <c r="I124" s="178"/>
      <c r="J124" s="178"/>
      <c r="K124" s="178"/>
      <c r="L124" s="179"/>
      <c r="M124" s="185"/>
      <c r="N124" s="185"/>
    </row>
    <row r="125" spans="1:14">
      <c r="A125" s="2395"/>
      <c r="B125" s="1899"/>
      <c r="C125" s="110">
        <v>2019</v>
      </c>
      <c r="D125" s="38"/>
      <c r="E125" s="177"/>
      <c r="F125" s="178"/>
      <c r="G125" s="178"/>
      <c r="H125" s="178"/>
      <c r="I125" s="178"/>
      <c r="J125" s="178"/>
      <c r="K125" s="178"/>
      <c r="L125" s="179"/>
      <c r="M125" s="185"/>
      <c r="N125" s="185"/>
    </row>
    <row r="126" spans="1:14">
      <c r="A126" s="2395"/>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405" t="s">
        <v>84</v>
      </c>
      <c r="B129" s="2407" t="s">
        <v>179</v>
      </c>
      <c r="C129" s="1739" t="s">
        <v>9</v>
      </c>
      <c r="D129" s="1758" t="s">
        <v>85</v>
      </c>
      <c r="E129" s="1551"/>
      <c r="F129" s="1551"/>
      <c r="G129" s="1759"/>
      <c r="H129" s="185"/>
      <c r="I129" s="185"/>
      <c r="J129" s="185"/>
      <c r="K129" s="185"/>
      <c r="L129" s="185"/>
      <c r="M129" s="185"/>
      <c r="N129" s="185"/>
    </row>
    <row r="130" spans="1:16" ht="77.25" customHeight="1">
      <c r="A130" s="2406"/>
      <c r="B130" s="1912"/>
      <c r="C130" s="1735"/>
      <c r="D130" s="166" t="s">
        <v>86</v>
      </c>
      <c r="E130" s="193" t="s">
        <v>87</v>
      </c>
      <c r="F130" s="167" t="s">
        <v>88</v>
      </c>
      <c r="G130" s="194" t="s">
        <v>13</v>
      </c>
      <c r="H130" s="185"/>
      <c r="I130" s="185"/>
      <c r="J130" s="185"/>
      <c r="K130" s="185"/>
      <c r="L130" s="185"/>
      <c r="M130" s="185"/>
      <c r="N130" s="185"/>
    </row>
    <row r="131" spans="1:16" ht="15" customHeight="1">
      <c r="A131" s="2408"/>
      <c r="B131" s="1855"/>
      <c r="C131" s="106">
        <v>2015</v>
      </c>
      <c r="D131" s="30">
        <v>16</v>
      </c>
      <c r="E131" s="31"/>
      <c r="F131" s="31"/>
      <c r="G131" s="195">
        <f t="shared" ref="G131:G136" si="11">SUM(D131:F131)</f>
        <v>16</v>
      </c>
      <c r="H131" s="185"/>
      <c r="I131" s="185"/>
      <c r="J131" s="185"/>
      <c r="K131" s="185"/>
      <c r="L131" s="185"/>
      <c r="M131" s="185"/>
      <c r="N131" s="185"/>
    </row>
    <row r="132" spans="1:16">
      <c r="A132" s="2378"/>
      <c r="B132" s="1855"/>
      <c r="C132" s="110">
        <v>2016</v>
      </c>
      <c r="D132" s="584">
        <v>48</v>
      </c>
      <c r="E132" s="38"/>
      <c r="F132" s="38"/>
      <c r="G132" s="195">
        <f t="shared" si="11"/>
        <v>48</v>
      </c>
      <c r="H132" s="185"/>
      <c r="I132" s="185"/>
      <c r="J132" s="185"/>
      <c r="K132" s="185"/>
      <c r="L132" s="185"/>
      <c r="M132" s="185"/>
      <c r="N132" s="185"/>
    </row>
    <row r="133" spans="1:16">
      <c r="A133" s="2378"/>
      <c r="B133" s="1855"/>
      <c r="C133" s="110">
        <v>2017</v>
      </c>
      <c r="D133" s="37">
        <v>32</v>
      </c>
      <c r="E133" s="38"/>
      <c r="F133" s="38"/>
      <c r="G133" s="195">
        <f t="shared" si="11"/>
        <v>32</v>
      </c>
      <c r="H133" s="185"/>
      <c r="I133" s="185"/>
      <c r="J133" s="185"/>
      <c r="K133" s="185"/>
      <c r="L133" s="185"/>
      <c r="M133" s="185"/>
      <c r="N133" s="185"/>
    </row>
    <row r="134" spans="1:16">
      <c r="A134" s="2378"/>
      <c r="B134" s="1855"/>
      <c r="C134" s="110">
        <v>2018</v>
      </c>
      <c r="D134" s="37"/>
      <c r="E134" s="38"/>
      <c r="F134" s="38"/>
      <c r="G134" s="195">
        <f t="shared" si="11"/>
        <v>0</v>
      </c>
      <c r="H134" s="185"/>
      <c r="I134" s="185"/>
      <c r="J134" s="185"/>
      <c r="K134" s="185"/>
      <c r="L134" s="185"/>
      <c r="M134" s="185"/>
      <c r="N134" s="185"/>
    </row>
    <row r="135" spans="1:16">
      <c r="A135" s="2378"/>
      <c r="B135" s="1855"/>
      <c r="C135" s="110">
        <v>2019</v>
      </c>
      <c r="D135" s="37"/>
      <c r="E135" s="38"/>
      <c r="F135" s="38"/>
      <c r="G135" s="195">
        <f t="shared" si="11"/>
        <v>0</v>
      </c>
      <c r="H135" s="185"/>
      <c r="I135" s="185"/>
      <c r="J135" s="185"/>
      <c r="K135" s="185"/>
      <c r="L135" s="185"/>
      <c r="M135" s="185"/>
      <c r="N135" s="185"/>
    </row>
    <row r="136" spans="1:16">
      <c r="A136" s="2378"/>
      <c r="B136" s="1855"/>
      <c r="C136" s="110">
        <v>2020</v>
      </c>
      <c r="D136" s="37"/>
      <c r="E136" s="38"/>
      <c r="F136" s="38"/>
      <c r="G136" s="195">
        <f t="shared" si="11"/>
        <v>0</v>
      </c>
      <c r="H136" s="185"/>
      <c r="I136" s="185"/>
      <c r="J136" s="185"/>
      <c r="K136" s="185"/>
      <c r="L136" s="185"/>
      <c r="M136" s="185"/>
      <c r="N136" s="185"/>
    </row>
    <row r="137" spans="1:16" ht="17.25" customHeight="1" thickBot="1">
      <c r="A137" s="1856"/>
      <c r="B137" s="1857"/>
      <c r="C137" s="113" t="s">
        <v>13</v>
      </c>
      <c r="D137" s="139">
        <f>SUM(D131:D136)</f>
        <v>96</v>
      </c>
      <c r="E137" s="139">
        <f t="shared" ref="E137:F137" si="12">SUM(E131:E136)</f>
        <v>0</v>
      </c>
      <c r="F137" s="139">
        <f t="shared" si="12"/>
        <v>0</v>
      </c>
      <c r="G137" s="196">
        <f>SUM(G131:G136)</f>
        <v>96</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409" t="s">
        <v>91</v>
      </c>
      <c r="B142" s="2402" t="s">
        <v>179</v>
      </c>
      <c r="C142" s="2404" t="s">
        <v>9</v>
      </c>
      <c r="D142" s="1555" t="s">
        <v>92</v>
      </c>
      <c r="E142" s="1556"/>
      <c r="F142" s="1556"/>
      <c r="G142" s="1556"/>
      <c r="H142" s="1556"/>
      <c r="I142" s="1557"/>
      <c r="J142" s="2396" t="s">
        <v>93</v>
      </c>
      <c r="K142" s="2397"/>
      <c r="L142" s="2397"/>
      <c r="M142" s="2397"/>
      <c r="N142" s="2398"/>
      <c r="O142" s="165"/>
      <c r="P142" s="165"/>
    </row>
    <row r="143" spans="1:16" ht="113.25" customHeight="1">
      <c r="A143" s="2410"/>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2399"/>
      <c r="B144" s="1899"/>
      <c r="C144" s="106">
        <v>2014</v>
      </c>
      <c r="D144" s="30"/>
      <c r="E144" s="30"/>
      <c r="F144" s="31"/>
      <c r="G144" s="175"/>
      <c r="H144" s="175"/>
      <c r="I144" s="213">
        <f>D144+F144+G144+H144</f>
        <v>0</v>
      </c>
      <c r="J144" s="214"/>
      <c r="K144" s="215"/>
      <c r="L144" s="214"/>
      <c r="M144" s="215"/>
      <c r="N144" s="216"/>
      <c r="O144" s="165"/>
      <c r="P144" s="165"/>
    </row>
    <row r="145" spans="1:16" ht="19.5" customHeight="1">
      <c r="A145" s="2395"/>
      <c r="B145" s="1899"/>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2395"/>
      <c r="B146" s="1899"/>
      <c r="C146" s="110">
        <v>2016</v>
      </c>
      <c r="D146" s="37"/>
      <c r="E146" s="37"/>
      <c r="F146" s="38"/>
      <c r="G146" s="178"/>
      <c r="H146" s="178"/>
      <c r="I146" s="213">
        <f t="shared" si="13"/>
        <v>0</v>
      </c>
      <c r="J146" s="217"/>
      <c r="K146" s="218"/>
      <c r="L146" s="217"/>
      <c r="M146" s="218"/>
      <c r="N146" s="219"/>
      <c r="O146" s="165"/>
      <c r="P146" s="165"/>
    </row>
    <row r="147" spans="1:16" ht="17.25" customHeight="1">
      <c r="A147" s="2395"/>
      <c r="B147" s="1899"/>
      <c r="C147" s="110">
        <v>2017</v>
      </c>
      <c r="D147" s="37"/>
      <c r="E147" s="37"/>
      <c r="F147" s="38"/>
      <c r="G147" s="178"/>
      <c r="H147" s="178"/>
      <c r="I147" s="213">
        <f t="shared" si="13"/>
        <v>0</v>
      </c>
      <c r="J147" s="217"/>
      <c r="K147" s="218"/>
      <c r="L147" s="217"/>
      <c r="M147" s="218"/>
      <c r="N147" s="219"/>
      <c r="O147" s="165"/>
      <c r="P147" s="165"/>
    </row>
    <row r="148" spans="1:16" ht="19.5" customHeight="1">
      <c r="A148" s="2395"/>
      <c r="B148" s="1899"/>
      <c r="C148" s="110">
        <v>2018</v>
      </c>
      <c r="D148" s="37"/>
      <c r="E148" s="37"/>
      <c r="F148" s="38"/>
      <c r="G148" s="178"/>
      <c r="H148" s="178"/>
      <c r="I148" s="213">
        <f t="shared" si="13"/>
        <v>0</v>
      </c>
      <c r="J148" s="217"/>
      <c r="K148" s="218"/>
      <c r="L148" s="217"/>
      <c r="M148" s="218"/>
      <c r="N148" s="219"/>
      <c r="O148" s="165"/>
      <c r="P148" s="165"/>
    </row>
    <row r="149" spans="1:16" ht="19.5" customHeight="1">
      <c r="A149" s="2395"/>
      <c r="B149" s="1899"/>
      <c r="C149" s="110">
        <v>2019</v>
      </c>
      <c r="D149" s="37"/>
      <c r="E149" s="37"/>
      <c r="F149" s="38"/>
      <c r="G149" s="178"/>
      <c r="H149" s="178"/>
      <c r="I149" s="213">
        <f t="shared" si="13"/>
        <v>0</v>
      </c>
      <c r="J149" s="217"/>
      <c r="K149" s="218"/>
      <c r="L149" s="217"/>
      <c r="M149" s="218"/>
      <c r="N149" s="219"/>
      <c r="O149" s="165"/>
      <c r="P149" s="165"/>
    </row>
    <row r="150" spans="1:16" ht="18.75" customHeight="1">
      <c r="A150" s="2395"/>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2400" t="s">
        <v>105</v>
      </c>
      <c r="B153" s="2402" t="s">
        <v>179</v>
      </c>
      <c r="C153" s="2403" t="s">
        <v>9</v>
      </c>
      <c r="D153" s="1563" t="s">
        <v>106</v>
      </c>
      <c r="E153" s="1563"/>
      <c r="F153" s="1564"/>
      <c r="G153" s="1564"/>
      <c r="H153" s="1563" t="s">
        <v>107</v>
      </c>
      <c r="I153" s="1563"/>
      <c r="J153" s="1565"/>
      <c r="K153" s="56"/>
      <c r="L153" s="56"/>
      <c r="M153" s="56"/>
      <c r="N153" s="56"/>
      <c r="O153" s="165"/>
      <c r="P153" s="165"/>
    </row>
    <row r="154" spans="1:16" ht="49.5" customHeight="1">
      <c r="A154" s="2401"/>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2399"/>
      <c r="B155" s="1899"/>
      <c r="C155" s="233">
        <v>2014</v>
      </c>
      <c r="D155" s="214"/>
      <c r="E155" s="175"/>
      <c r="F155" s="215"/>
      <c r="G155" s="213">
        <f>SUM(D155:F155)</f>
        <v>0</v>
      </c>
      <c r="H155" s="214"/>
      <c r="I155" s="175"/>
      <c r="J155" s="176"/>
      <c r="O155" s="165"/>
      <c r="P155" s="165"/>
    </row>
    <row r="156" spans="1:16" ht="19.5" customHeight="1">
      <c r="A156" s="2395"/>
      <c r="B156" s="1899"/>
      <c r="C156" s="234">
        <v>2015</v>
      </c>
      <c r="D156" s="217"/>
      <c r="E156" s="178"/>
      <c r="F156" s="218"/>
      <c r="G156" s="213">
        <f t="shared" ref="G156:G161" si="15">SUM(D156:F156)</f>
        <v>0</v>
      </c>
      <c r="H156" s="217"/>
      <c r="I156" s="178"/>
      <c r="J156" s="179"/>
      <c r="O156" s="165"/>
      <c r="P156" s="165"/>
    </row>
    <row r="157" spans="1:16" ht="17.25" customHeight="1">
      <c r="A157" s="2395"/>
      <c r="B157" s="1899"/>
      <c r="C157" s="234">
        <v>2016</v>
      </c>
      <c r="D157" s="217"/>
      <c r="E157" s="178"/>
      <c r="F157" s="218"/>
      <c r="G157" s="213">
        <f t="shared" si="15"/>
        <v>0</v>
      </c>
      <c r="H157" s="217"/>
      <c r="I157" s="178"/>
      <c r="J157" s="179"/>
      <c r="O157" s="165"/>
      <c r="P157" s="165"/>
    </row>
    <row r="158" spans="1:16" ht="15" customHeight="1">
      <c r="A158" s="2395"/>
      <c r="B158" s="1899"/>
      <c r="C158" s="234">
        <v>2017</v>
      </c>
      <c r="D158" s="217"/>
      <c r="E158" s="178"/>
      <c r="F158" s="218"/>
      <c r="G158" s="213">
        <f t="shared" si="15"/>
        <v>0</v>
      </c>
      <c r="H158" s="217"/>
      <c r="I158" s="178"/>
      <c r="J158" s="179"/>
      <c r="O158" s="165"/>
      <c r="P158" s="165"/>
    </row>
    <row r="159" spans="1:16" ht="19.5" customHeight="1">
      <c r="A159" s="2395"/>
      <c r="B159" s="1899"/>
      <c r="C159" s="234">
        <v>2018</v>
      </c>
      <c r="D159" s="217"/>
      <c r="E159" s="178"/>
      <c r="F159" s="218"/>
      <c r="G159" s="213">
        <f t="shared" si="15"/>
        <v>0</v>
      </c>
      <c r="H159" s="217"/>
      <c r="I159" s="178"/>
      <c r="J159" s="179"/>
      <c r="O159" s="165"/>
      <c r="P159" s="165"/>
    </row>
    <row r="160" spans="1:16" ht="15" customHeight="1">
      <c r="A160" s="2395"/>
      <c r="B160" s="1899"/>
      <c r="C160" s="234">
        <v>2019</v>
      </c>
      <c r="D160" s="217"/>
      <c r="E160" s="178"/>
      <c r="F160" s="218"/>
      <c r="G160" s="213">
        <f t="shared" si="15"/>
        <v>0</v>
      </c>
      <c r="H160" s="217"/>
      <c r="I160" s="178"/>
      <c r="J160" s="179"/>
      <c r="O160" s="165"/>
      <c r="P160" s="165"/>
    </row>
    <row r="161" spans="1:18" ht="17.25" customHeight="1">
      <c r="A161" s="2395"/>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1566"/>
      <c r="F163" s="165"/>
      <c r="G163" s="165"/>
      <c r="H163" s="165"/>
      <c r="I163" s="165"/>
      <c r="J163" s="241"/>
      <c r="K163" s="242"/>
    </row>
    <row r="164" spans="1:18" ht="95.25" customHeight="1">
      <c r="A164" s="1760" t="s">
        <v>115</v>
      </c>
      <c r="B164" s="405" t="s">
        <v>181</v>
      </c>
      <c r="C164" s="1567" t="s">
        <v>9</v>
      </c>
      <c r="D164" s="246" t="s">
        <v>117</v>
      </c>
      <c r="E164" s="246" t="s">
        <v>118</v>
      </c>
      <c r="F164" s="1568" t="s">
        <v>119</v>
      </c>
      <c r="G164" s="246" t="s">
        <v>120</v>
      </c>
      <c r="H164" s="246" t="s">
        <v>121</v>
      </c>
      <c r="I164" s="248" t="s">
        <v>122</v>
      </c>
      <c r="J164" s="1761" t="s">
        <v>123</v>
      </c>
      <c r="K164" s="1761" t="s">
        <v>124</v>
      </c>
      <c r="L164" s="1721"/>
    </row>
    <row r="165" spans="1:18" ht="15.75" customHeight="1">
      <c r="A165" s="1878"/>
      <c r="B165" s="1879"/>
      <c r="C165" s="251">
        <v>2014</v>
      </c>
      <c r="D165" s="175"/>
      <c r="E165" s="175"/>
      <c r="F165" s="175"/>
      <c r="G165" s="175"/>
      <c r="H165" s="175"/>
      <c r="I165" s="176"/>
      <c r="J165" s="1570">
        <f>SUM(D165,F165,H165)</f>
        <v>0</v>
      </c>
      <c r="K165" s="253">
        <f>SUM(E165,G165,I165)</f>
        <v>0</v>
      </c>
      <c r="L165" s="1721"/>
    </row>
    <row r="166" spans="1:18">
      <c r="A166" s="1880"/>
      <c r="B166" s="1881"/>
      <c r="C166" s="254">
        <v>2015</v>
      </c>
      <c r="D166" s="255"/>
      <c r="E166" s="255"/>
      <c r="F166" s="255"/>
      <c r="G166" s="255"/>
      <c r="H166" s="255"/>
      <c r="I166" s="256"/>
      <c r="J166" s="1571">
        <f t="shared" ref="J166:K171" si="17">SUM(D166,F166,H166)</f>
        <v>0</v>
      </c>
      <c r="K166" s="408">
        <f t="shared" si="17"/>
        <v>0</v>
      </c>
      <c r="L166" s="1721"/>
    </row>
    <row r="167" spans="1:18">
      <c r="A167" s="1880"/>
      <c r="B167" s="1881"/>
      <c r="C167" s="254">
        <v>2016</v>
      </c>
      <c r="D167" s="255"/>
      <c r="E167" s="255"/>
      <c r="F167" s="255"/>
      <c r="G167" s="255"/>
      <c r="H167" s="255"/>
      <c r="I167" s="256"/>
      <c r="J167" s="1571">
        <f t="shared" si="17"/>
        <v>0</v>
      </c>
      <c r="K167" s="408">
        <f t="shared" si="17"/>
        <v>0</v>
      </c>
    </row>
    <row r="168" spans="1:18">
      <c r="A168" s="1880"/>
      <c r="B168" s="1881"/>
      <c r="C168" s="254">
        <v>2017</v>
      </c>
      <c r="D168" s="255"/>
      <c r="E168" s="165"/>
      <c r="F168" s="255"/>
      <c r="G168" s="255"/>
      <c r="H168" s="255"/>
      <c r="I168" s="256"/>
      <c r="J168" s="1571">
        <f t="shared" si="17"/>
        <v>0</v>
      </c>
      <c r="K168" s="408">
        <f t="shared" si="17"/>
        <v>0</v>
      </c>
    </row>
    <row r="169" spans="1:18">
      <c r="A169" s="1880"/>
      <c r="B169" s="1881"/>
      <c r="C169" s="262">
        <v>2018</v>
      </c>
      <c r="D169" s="255"/>
      <c r="E169" s="255"/>
      <c r="F169" s="255"/>
      <c r="G169" s="263"/>
      <c r="H169" s="255"/>
      <c r="I169" s="256"/>
      <c r="J169" s="1571">
        <f t="shared" si="17"/>
        <v>0</v>
      </c>
      <c r="K169" s="408">
        <f t="shared" si="17"/>
        <v>0</v>
      </c>
      <c r="L169" s="1721"/>
    </row>
    <row r="170" spans="1:18">
      <c r="A170" s="1880"/>
      <c r="B170" s="1881"/>
      <c r="C170" s="254">
        <v>2019</v>
      </c>
      <c r="D170" s="165"/>
      <c r="E170" s="255"/>
      <c r="F170" s="255"/>
      <c r="G170" s="255"/>
      <c r="H170" s="263"/>
      <c r="I170" s="256"/>
      <c r="J170" s="1571">
        <f t="shared" si="17"/>
        <v>0</v>
      </c>
      <c r="K170" s="408">
        <f t="shared" si="17"/>
        <v>0</v>
      </c>
      <c r="L170" s="1721"/>
    </row>
    <row r="171" spans="1:18">
      <c r="A171" s="1880"/>
      <c r="B171" s="1881"/>
      <c r="C171" s="262">
        <v>2020</v>
      </c>
      <c r="D171" s="255"/>
      <c r="E171" s="255"/>
      <c r="F171" s="255"/>
      <c r="G171" s="255"/>
      <c r="H171" s="255"/>
      <c r="I171" s="256"/>
      <c r="J171" s="1571">
        <f t="shared" si="17"/>
        <v>0</v>
      </c>
      <c r="K171" s="408">
        <f t="shared" si="17"/>
        <v>0</v>
      </c>
      <c r="L171" s="1721"/>
    </row>
    <row r="172" spans="1:18" ht="41.25" customHeight="1" thickBot="1">
      <c r="A172" s="1882"/>
      <c r="B172" s="1883"/>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1721"/>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389" t="s">
        <v>127</v>
      </c>
      <c r="B176" s="2380" t="s">
        <v>182</v>
      </c>
      <c r="C176" s="2391" t="s">
        <v>9</v>
      </c>
      <c r="D176" s="1762" t="s">
        <v>128</v>
      </c>
      <c r="E176" s="1572"/>
      <c r="F176" s="1572"/>
      <c r="G176" s="1573"/>
      <c r="H176" s="1763"/>
      <c r="I176" s="2392" t="s">
        <v>129</v>
      </c>
      <c r="J176" s="2393"/>
      <c r="K176" s="2393"/>
      <c r="L176" s="2393"/>
      <c r="M176" s="2393"/>
      <c r="N176" s="2393"/>
      <c r="O176" s="2394"/>
    </row>
    <row r="177" spans="1:15" s="56" customFormat="1" ht="129.75" customHeight="1">
      <c r="A177" s="2390"/>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2395"/>
      <c r="B178" s="1899"/>
      <c r="C178" s="106">
        <v>2014</v>
      </c>
      <c r="D178" s="30"/>
      <c r="E178" s="31"/>
      <c r="F178" s="31"/>
      <c r="G178" s="284">
        <f>SUM(D178:F178)</f>
        <v>0</v>
      </c>
      <c r="H178" s="155"/>
      <c r="I178" s="155"/>
      <c r="J178" s="31"/>
      <c r="K178" s="31"/>
      <c r="L178" s="31"/>
      <c r="M178" s="31"/>
      <c r="N178" s="31"/>
      <c r="O178" s="34"/>
    </row>
    <row r="179" spans="1:15">
      <c r="A179" s="2395"/>
      <c r="B179" s="1899"/>
      <c r="C179" s="110">
        <v>2015</v>
      </c>
      <c r="D179" s="37"/>
      <c r="E179" s="38"/>
      <c r="F179" s="38"/>
      <c r="G179" s="284">
        <f t="shared" ref="G179:G184" si="19">SUM(D179:F179)</f>
        <v>0</v>
      </c>
      <c r="H179" s="411"/>
      <c r="I179" s="112"/>
      <c r="J179" s="38"/>
      <c r="K179" s="38"/>
      <c r="L179" s="38"/>
      <c r="M179" s="38"/>
      <c r="N179" s="38"/>
      <c r="O179" s="88"/>
    </row>
    <row r="180" spans="1:15">
      <c r="A180" s="2395"/>
      <c r="B180" s="1899"/>
      <c r="C180" s="110">
        <v>2016</v>
      </c>
      <c r="D180" s="37">
        <v>5</v>
      </c>
      <c r="E180" s="38">
        <v>1</v>
      </c>
      <c r="F180" s="38"/>
      <c r="G180" s="284">
        <f t="shared" si="19"/>
        <v>6</v>
      </c>
      <c r="H180" s="592">
        <v>32</v>
      </c>
      <c r="I180" s="112"/>
      <c r="J180" s="38">
        <v>4</v>
      </c>
      <c r="K180" s="38"/>
      <c r="L180" s="38">
        <v>1</v>
      </c>
      <c r="M180" s="38">
        <v>1</v>
      </c>
      <c r="N180" s="38"/>
      <c r="O180" s="88"/>
    </row>
    <row r="181" spans="1:15">
      <c r="A181" s="2395"/>
      <c r="B181" s="1899"/>
      <c r="C181" s="110">
        <v>2017</v>
      </c>
      <c r="D181" s="37">
        <v>3</v>
      </c>
      <c r="E181" s="38">
        <v>4</v>
      </c>
      <c r="F181" s="38"/>
      <c r="G181" s="284">
        <f t="shared" si="19"/>
        <v>7</v>
      </c>
      <c r="H181" s="592">
        <v>23</v>
      </c>
      <c r="I181" s="112">
        <v>1</v>
      </c>
      <c r="J181" s="38">
        <v>1</v>
      </c>
      <c r="K181" s="38"/>
      <c r="L181" s="38">
        <v>2</v>
      </c>
      <c r="M181" s="38">
        <v>3</v>
      </c>
      <c r="N181" s="38"/>
      <c r="O181" s="88"/>
    </row>
    <row r="182" spans="1:15">
      <c r="A182" s="2395"/>
      <c r="B182" s="1899"/>
      <c r="C182" s="110">
        <v>2018</v>
      </c>
      <c r="D182" s="37"/>
      <c r="E182" s="38"/>
      <c r="F182" s="38"/>
      <c r="G182" s="284">
        <f t="shared" si="19"/>
        <v>0</v>
      </c>
      <c r="H182" s="411"/>
      <c r="I182" s="112"/>
      <c r="J182" s="38"/>
      <c r="K182" s="38"/>
      <c r="L182" s="38"/>
      <c r="M182" s="38"/>
      <c r="N182" s="38"/>
      <c r="O182" s="88"/>
    </row>
    <row r="183" spans="1:15">
      <c r="A183" s="2395"/>
      <c r="B183" s="1899"/>
      <c r="C183" s="110">
        <v>2019</v>
      </c>
      <c r="D183" s="37"/>
      <c r="E183" s="38"/>
      <c r="F183" s="38"/>
      <c r="G183" s="284">
        <f t="shared" si="19"/>
        <v>0</v>
      </c>
      <c r="H183" s="411"/>
      <c r="I183" s="112"/>
      <c r="J183" s="38"/>
      <c r="K183" s="38"/>
      <c r="L183" s="38"/>
      <c r="M183" s="38"/>
      <c r="N183" s="38"/>
      <c r="O183" s="88"/>
    </row>
    <row r="184" spans="1:15">
      <c r="A184" s="2395"/>
      <c r="B184" s="1899"/>
      <c r="C184" s="110">
        <v>2020</v>
      </c>
      <c r="D184" s="37"/>
      <c r="E184" s="38"/>
      <c r="F184" s="38"/>
      <c r="G184" s="284">
        <f t="shared" si="19"/>
        <v>0</v>
      </c>
      <c r="H184" s="411"/>
      <c r="I184" s="112"/>
      <c r="J184" s="38"/>
      <c r="K184" s="38"/>
      <c r="L184" s="38"/>
      <c r="M184" s="38"/>
      <c r="N184" s="38"/>
      <c r="O184" s="88"/>
    </row>
    <row r="185" spans="1:15" ht="45" customHeight="1" thickBot="1">
      <c r="A185" s="1893"/>
      <c r="B185" s="1900"/>
      <c r="C185" s="113" t="s">
        <v>13</v>
      </c>
      <c r="D185" s="139">
        <f>SUM(D178:D184)</f>
        <v>8</v>
      </c>
      <c r="E185" s="116">
        <f>SUM(E178:E184)</f>
        <v>5</v>
      </c>
      <c r="F185" s="116">
        <f>SUM(F178:F184)</f>
        <v>0</v>
      </c>
      <c r="G185" s="220">
        <f t="shared" ref="G185:O185" si="20">SUM(G178:G184)</f>
        <v>13</v>
      </c>
      <c r="H185" s="285">
        <f t="shared" si="20"/>
        <v>55</v>
      </c>
      <c r="I185" s="115">
        <f t="shared" si="20"/>
        <v>1</v>
      </c>
      <c r="J185" s="116">
        <f t="shared" si="20"/>
        <v>5</v>
      </c>
      <c r="K185" s="116">
        <f t="shared" si="20"/>
        <v>0</v>
      </c>
      <c r="L185" s="116">
        <f t="shared" si="20"/>
        <v>3</v>
      </c>
      <c r="M185" s="116">
        <f t="shared" si="20"/>
        <v>4</v>
      </c>
      <c r="N185" s="116">
        <f t="shared" si="20"/>
        <v>0</v>
      </c>
      <c r="O185" s="117">
        <f t="shared" si="20"/>
        <v>0</v>
      </c>
    </row>
    <row r="186" spans="1:15" ht="33" customHeight="1" thickBot="1"/>
    <row r="187" spans="1:15" ht="19.5" customHeight="1">
      <c r="A187" s="2379" t="s">
        <v>137</v>
      </c>
      <c r="B187" s="2380" t="s">
        <v>182</v>
      </c>
      <c r="C187" s="1865" t="s">
        <v>9</v>
      </c>
      <c r="D187" s="1867" t="s">
        <v>138</v>
      </c>
      <c r="E187" s="2381"/>
      <c r="F187" s="2381"/>
      <c r="G187" s="2382"/>
      <c r="H187" s="2383"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2233" t="s">
        <v>572</v>
      </c>
      <c r="B189" s="2384"/>
      <c r="C189" s="290">
        <v>2014</v>
      </c>
      <c r="D189" s="133"/>
      <c r="E189" s="109"/>
      <c r="F189" s="109"/>
      <c r="G189" s="291">
        <f>SUM(D189:F189)</f>
        <v>0</v>
      </c>
      <c r="H189" s="108"/>
      <c r="I189" s="109"/>
      <c r="J189" s="109"/>
      <c r="K189" s="109"/>
      <c r="L189" s="134"/>
    </row>
    <row r="190" spans="1:15">
      <c r="A190" s="2385"/>
      <c r="B190" s="2386"/>
      <c r="C190" s="73">
        <v>2015</v>
      </c>
      <c r="D190" s="37"/>
      <c r="E190" s="38"/>
      <c r="F190" s="38"/>
      <c r="G190" s="291">
        <f t="shared" ref="G190:G195" si="21">SUM(D190:F190)</f>
        <v>0</v>
      </c>
      <c r="H190" s="112"/>
      <c r="I190" s="38"/>
      <c r="J190" s="38"/>
      <c r="K190" s="38"/>
      <c r="L190" s="88"/>
    </row>
    <row r="191" spans="1:15">
      <c r="A191" s="2385"/>
      <c r="B191" s="2386"/>
      <c r="C191" s="73">
        <v>2016</v>
      </c>
      <c r="D191" s="37">
        <v>560</v>
      </c>
      <c r="E191" s="38">
        <v>35</v>
      </c>
      <c r="F191" s="38"/>
      <c r="G191" s="291">
        <f t="shared" si="21"/>
        <v>595</v>
      </c>
      <c r="H191" s="112"/>
      <c r="I191" s="38">
        <v>40</v>
      </c>
      <c r="J191" s="38"/>
      <c r="K191" s="38">
        <v>104</v>
      </c>
      <c r="L191" s="88">
        <v>451</v>
      </c>
    </row>
    <row r="192" spans="1:15">
      <c r="A192" s="2385"/>
      <c r="B192" s="2386"/>
      <c r="C192" s="73">
        <v>2017</v>
      </c>
      <c r="D192" s="37">
        <v>197</v>
      </c>
      <c r="E192" s="38">
        <v>89</v>
      </c>
      <c r="F192" s="38"/>
      <c r="G192" s="291">
        <f t="shared" si="21"/>
        <v>286</v>
      </c>
      <c r="H192" s="112"/>
      <c r="I192" s="38">
        <v>147</v>
      </c>
      <c r="J192" s="38"/>
      <c r="K192" s="38"/>
      <c r="L192" s="88">
        <v>139</v>
      </c>
    </row>
    <row r="193" spans="1:14">
      <c r="A193" s="2385"/>
      <c r="B193" s="2386"/>
      <c r="C193" s="73">
        <v>2018</v>
      </c>
      <c r="D193" s="37"/>
      <c r="E193" s="38"/>
      <c r="F193" s="38"/>
      <c r="G193" s="291">
        <f t="shared" si="21"/>
        <v>0</v>
      </c>
      <c r="H193" s="112"/>
      <c r="I193" s="38"/>
      <c r="J193" s="38"/>
      <c r="K193" s="38"/>
      <c r="L193" s="88"/>
    </row>
    <row r="194" spans="1:14">
      <c r="A194" s="2385"/>
      <c r="B194" s="2386"/>
      <c r="C194" s="73">
        <v>2019</v>
      </c>
      <c r="D194" s="37"/>
      <c r="E194" s="38"/>
      <c r="F194" s="38"/>
      <c r="G194" s="291">
        <f t="shared" si="21"/>
        <v>0</v>
      </c>
      <c r="H194" s="112"/>
      <c r="I194" s="38"/>
      <c r="J194" s="38"/>
      <c r="K194" s="38"/>
      <c r="L194" s="88"/>
    </row>
    <row r="195" spans="1:14">
      <c r="A195" s="2385"/>
      <c r="B195" s="2386"/>
      <c r="C195" s="73">
        <v>2020</v>
      </c>
      <c r="D195" s="37"/>
      <c r="E195" s="38"/>
      <c r="F195" s="38"/>
      <c r="G195" s="291">
        <f t="shared" si="21"/>
        <v>0</v>
      </c>
      <c r="H195" s="112"/>
      <c r="I195" s="38"/>
      <c r="J195" s="38"/>
      <c r="K195" s="38"/>
      <c r="L195" s="88"/>
    </row>
    <row r="196" spans="1:14" ht="15.75" thickBot="1">
      <c r="A196" s="2387"/>
      <c r="B196" s="2388"/>
      <c r="C196" s="136" t="s">
        <v>13</v>
      </c>
      <c r="D196" s="139">
        <f t="shared" ref="D196:L196" si="22">SUM(D189:D195)</f>
        <v>757</v>
      </c>
      <c r="E196" s="116">
        <f t="shared" si="22"/>
        <v>124</v>
      </c>
      <c r="F196" s="116">
        <f t="shared" si="22"/>
        <v>0</v>
      </c>
      <c r="G196" s="292">
        <f t="shared" si="22"/>
        <v>881</v>
      </c>
      <c r="H196" s="115">
        <f t="shared" si="22"/>
        <v>0</v>
      </c>
      <c r="I196" s="116">
        <f t="shared" si="22"/>
        <v>187</v>
      </c>
      <c r="J196" s="116">
        <f t="shared" si="22"/>
        <v>0</v>
      </c>
      <c r="K196" s="116">
        <f t="shared" si="22"/>
        <v>104</v>
      </c>
      <c r="L196" s="117">
        <f t="shared" si="22"/>
        <v>590</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1574" t="s">
        <v>150</v>
      </c>
      <c r="B201" s="417" t="s">
        <v>182</v>
      </c>
      <c r="C201" s="298" t="s">
        <v>9</v>
      </c>
      <c r="D201" s="1764" t="s">
        <v>151</v>
      </c>
      <c r="E201" s="300" t="s">
        <v>152</v>
      </c>
      <c r="F201" s="300" t="s">
        <v>153</v>
      </c>
      <c r="G201" s="298" t="s">
        <v>154</v>
      </c>
      <c r="H201" s="1575" t="s">
        <v>155</v>
      </c>
      <c r="I201" s="1765" t="s">
        <v>156</v>
      </c>
      <c r="J201" s="1766" t="s">
        <v>157</v>
      </c>
      <c r="K201" s="300" t="s">
        <v>158</v>
      </c>
      <c r="L201" s="304" t="s">
        <v>159</v>
      </c>
    </row>
    <row r="202" spans="1:14" ht="15" customHeight="1">
      <c r="A202" s="2378" t="s">
        <v>573</v>
      </c>
      <c r="B202" s="1855"/>
      <c r="C202" s="72">
        <v>2014</v>
      </c>
      <c r="D202" s="30"/>
      <c r="E202" s="31"/>
      <c r="F202" s="31"/>
      <c r="G202" s="29"/>
      <c r="H202" s="305"/>
      <c r="I202" s="306"/>
      <c r="J202" s="307"/>
      <c r="K202" s="31"/>
      <c r="L202" s="34"/>
    </row>
    <row r="203" spans="1:14">
      <c r="A203" s="2378"/>
      <c r="B203" s="1855"/>
      <c r="C203" s="73">
        <v>2015</v>
      </c>
      <c r="D203" s="37"/>
      <c r="E203" s="38"/>
      <c r="F203" s="38"/>
      <c r="G203" s="36"/>
      <c r="H203" s="308"/>
      <c r="I203" s="309"/>
      <c r="J203" s="310"/>
      <c r="K203" s="38"/>
      <c r="L203" s="88"/>
    </row>
    <row r="204" spans="1:14">
      <c r="A204" s="2378"/>
      <c r="B204" s="1855"/>
      <c r="C204" s="73">
        <v>2016</v>
      </c>
      <c r="D204" s="37">
        <v>1</v>
      </c>
      <c r="E204" s="1767">
        <v>17</v>
      </c>
      <c r="F204" s="38"/>
      <c r="G204" s="36"/>
      <c r="H204" s="308">
        <v>0</v>
      </c>
      <c r="I204" s="309"/>
      <c r="J204" s="310"/>
      <c r="K204" s="38"/>
      <c r="L204" s="88"/>
    </row>
    <row r="205" spans="1:14">
      <c r="A205" s="2378"/>
      <c r="B205" s="1855"/>
      <c r="C205" s="73">
        <v>2017</v>
      </c>
      <c r="D205" s="37"/>
      <c r="E205" s="38"/>
      <c r="F205" s="38"/>
      <c r="G205" s="36"/>
      <c r="H205" s="308"/>
      <c r="I205" s="309"/>
      <c r="J205" s="310"/>
      <c r="K205" s="38"/>
      <c r="L205" s="88"/>
    </row>
    <row r="206" spans="1:14">
      <c r="A206" s="2378"/>
      <c r="B206" s="1855"/>
      <c r="C206" s="73">
        <v>2018</v>
      </c>
      <c r="D206" s="37"/>
      <c r="E206" s="38"/>
      <c r="F206" s="38"/>
      <c r="G206" s="36"/>
      <c r="H206" s="308"/>
      <c r="I206" s="309"/>
      <c r="J206" s="310"/>
      <c r="K206" s="38"/>
      <c r="L206" s="88"/>
    </row>
    <row r="207" spans="1:14">
      <c r="A207" s="2378"/>
      <c r="B207" s="1855"/>
      <c r="C207" s="73">
        <v>2019</v>
      </c>
      <c r="D207" s="37"/>
      <c r="E207" s="38"/>
      <c r="F207" s="38"/>
      <c r="G207" s="36"/>
      <c r="H207" s="308"/>
      <c r="I207" s="309"/>
      <c r="J207" s="310"/>
      <c r="K207" s="38"/>
      <c r="L207" s="88"/>
    </row>
    <row r="208" spans="1:14">
      <c r="A208" s="2378"/>
      <c r="B208" s="1855"/>
      <c r="C208" s="73">
        <v>2020</v>
      </c>
      <c r="D208" s="1737"/>
      <c r="E208" s="312"/>
      <c r="F208" s="312"/>
      <c r="G208" s="313"/>
      <c r="H208" s="314"/>
      <c r="I208" s="315"/>
      <c r="J208" s="316"/>
      <c r="K208" s="312"/>
      <c r="L208" s="317"/>
    </row>
    <row r="209" spans="1:12" ht="20.25" customHeight="1" thickBot="1">
      <c r="A209" s="1856"/>
      <c r="B209" s="1857"/>
      <c r="C209" s="136" t="s">
        <v>13</v>
      </c>
      <c r="D209" s="139">
        <f>SUM(D202:D208)</f>
        <v>1</v>
      </c>
      <c r="E209" s="139">
        <f t="shared" ref="E209:L209" si="23">SUM(E202:E208)</f>
        <v>17</v>
      </c>
      <c r="F209" s="139">
        <f t="shared" si="23"/>
        <v>0</v>
      </c>
      <c r="G209" s="139">
        <f t="shared" si="23"/>
        <v>0</v>
      </c>
      <c r="H209" s="139">
        <f t="shared" si="23"/>
        <v>0</v>
      </c>
      <c r="I209" s="139">
        <f t="shared" si="23"/>
        <v>0</v>
      </c>
      <c r="J209" s="139">
        <f t="shared" si="23"/>
        <v>0</v>
      </c>
      <c r="K209" s="139">
        <f t="shared" si="23"/>
        <v>0</v>
      </c>
      <c r="L209" s="139">
        <f t="shared" si="23"/>
        <v>0</v>
      </c>
    </row>
    <row r="211" spans="1:12" ht="15.75" thickBot="1"/>
    <row r="212" spans="1:12" ht="29.25">
      <c r="A212" s="1576" t="s">
        <v>161</v>
      </c>
      <c r="B212" s="322" t="s">
        <v>162</v>
      </c>
      <c r="C212" s="323">
        <v>2014</v>
      </c>
      <c r="D212" s="324">
        <v>2015</v>
      </c>
      <c r="E212" s="324">
        <v>2016</v>
      </c>
      <c r="F212" s="324">
        <v>2017</v>
      </c>
      <c r="G212" s="324">
        <v>2018</v>
      </c>
      <c r="H212" s="324">
        <v>2019</v>
      </c>
      <c r="I212" s="325">
        <v>2020</v>
      </c>
    </row>
    <row r="213" spans="1:12" ht="15" customHeight="1">
      <c r="A213" t="s">
        <v>163</v>
      </c>
      <c r="B213" s="1973" t="s">
        <v>574</v>
      </c>
      <c r="C213" s="72"/>
      <c r="D213" s="328">
        <v>300157.90999999997</v>
      </c>
      <c r="E213" s="328">
        <v>670926.79</v>
      </c>
      <c r="F213" s="328">
        <v>391933.72</v>
      </c>
      <c r="G213" s="135"/>
      <c r="H213" s="135"/>
      <c r="I213" s="326"/>
    </row>
    <row r="214" spans="1:12">
      <c r="A214" t="s">
        <v>164</v>
      </c>
      <c r="B214" s="1974"/>
      <c r="C214" s="72"/>
      <c r="D214" s="328">
        <v>300157.90999999997</v>
      </c>
      <c r="E214" s="328">
        <v>670926.79</v>
      </c>
      <c r="F214" s="328">
        <v>370482.52</v>
      </c>
      <c r="G214" s="135"/>
      <c r="H214" s="135"/>
      <c r="I214" s="326"/>
    </row>
    <row r="215" spans="1:12">
      <c r="A215" t="s">
        <v>165</v>
      </c>
      <c r="B215" s="1974"/>
      <c r="C215" s="72"/>
      <c r="D215" s="135"/>
      <c r="E215" s="135"/>
      <c r="F215" s="135"/>
      <c r="G215" s="135"/>
      <c r="H215" s="135"/>
      <c r="I215" s="326"/>
    </row>
    <row r="216" spans="1:12">
      <c r="A216" t="s">
        <v>166</v>
      </c>
      <c r="B216" s="1974"/>
      <c r="C216" s="72"/>
      <c r="D216" s="135"/>
      <c r="E216" s="135"/>
      <c r="F216" s="328">
        <v>21451.200000000001</v>
      </c>
      <c r="G216" s="135"/>
      <c r="H216" s="135"/>
      <c r="I216" s="326"/>
    </row>
    <row r="217" spans="1:12">
      <c r="A217" t="s">
        <v>167</v>
      </c>
      <c r="B217" s="1974"/>
      <c r="C217" s="72"/>
      <c r="D217" s="135"/>
      <c r="E217" s="135"/>
      <c r="F217" s="135"/>
      <c r="G217" s="135"/>
      <c r="H217" s="135"/>
      <c r="I217" s="326"/>
    </row>
    <row r="218" spans="1:12" ht="30">
      <c r="A218" s="56" t="s">
        <v>168</v>
      </c>
      <c r="B218" s="1974"/>
      <c r="C218" s="72"/>
      <c r="D218" s="328">
        <v>147995.29999999999</v>
      </c>
      <c r="E218" s="328">
        <v>339676.46</v>
      </c>
      <c r="F218" s="328">
        <v>328616.21000000002</v>
      </c>
      <c r="G218" s="135"/>
      <c r="H218" s="135"/>
      <c r="I218" s="326"/>
    </row>
    <row r="219" spans="1:12" ht="15.75" thickBot="1">
      <c r="A219" s="1736"/>
      <c r="B219" s="1975"/>
      <c r="C219" s="42" t="s">
        <v>13</v>
      </c>
      <c r="D219" s="333">
        <f>SUM(D214:D218)</f>
        <v>448153.20999999996</v>
      </c>
      <c r="E219" s="333">
        <f t="shared" ref="E219:I219" si="24">SUM(E214:E218)</f>
        <v>1010603.25</v>
      </c>
      <c r="F219" s="333">
        <f t="shared" si="24"/>
        <v>720549.93</v>
      </c>
      <c r="G219" s="333">
        <f t="shared" si="24"/>
        <v>0</v>
      </c>
      <c r="H219" s="333">
        <f t="shared" si="24"/>
        <v>0</v>
      </c>
      <c r="I219" s="333">
        <f t="shared" si="24"/>
        <v>0</v>
      </c>
    </row>
    <row r="227" spans="1:1">
      <c r="A227" s="56"/>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7"/>
  <sheetViews>
    <sheetView topLeftCell="B4" zoomScale="80" zoomScaleNormal="80" workbookViewId="0">
      <selection activeCell="F219" sqref="F219"/>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376</v>
      </c>
      <c r="C1" s="1944"/>
      <c r="D1" s="1944"/>
      <c r="E1" s="1944"/>
      <c r="F1" s="1944"/>
    </row>
    <row r="2" spans="1:25" s="1" customFormat="1" ht="20.100000000000001" customHeight="1" thickBot="1"/>
    <row r="3" spans="1:25" s="4" customFormat="1" ht="20.100000000000001" customHeight="1">
      <c r="A3" s="488" t="s">
        <v>2</v>
      </c>
      <c r="B3" s="489"/>
      <c r="C3" s="489"/>
      <c r="D3" s="489"/>
      <c r="E3" s="489"/>
      <c r="F3" s="2010"/>
      <c r="G3" s="2010"/>
      <c r="H3" s="2010"/>
      <c r="I3" s="2010"/>
      <c r="J3" s="2010"/>
      <c r="K3" s="2010"/>
      <c r="L3" s="2010"/>
      <c r="M3" s="2010"/>
      <c r="N3" s="2010"/>
      <c r="O3" s="2011"/>
    </row>
    <row r="4" spans="1:25" s="4" customFormat="1" ht="20.100000000000001" customHeight="1">
      <c r="A4" s="1947" t="s">
        <v>170</v>
      </c>
      <c r="B4" s="1948"/>
      <c r="C4" s="1948"/>
      <c r="D4" s="1948"/>
      <c r="E4" s="1948"/>
      <c r="F4" s="1948"/>
      <c r="G4" s="1948"/>
      <c r="H4" s="1948"/>
      <c r="I4" s="1948"/>
      <c r="J4" s="1948"/>
      <c r="K4" s="1948"/>
      <c r="L4" s="1948"/>
      <c r="M4" s="1948"/>
      <c r="N4" s="1948"/>
      <c r="O4" s="1949"/>
    </row>
    <row r="5" spans="1:25" s="4" customFormat="1" ht="20.100000000000001" customHeight="1">
      <c r="A5" s="1947"/>
      <c r="B5" s="1948"/>
      <c r="C5" s="1948"/>
      <c r="D5" s="1948"/>
      <c r="E5" s="1948"/>
      <c r="F5" s="1948"/>
      <c r="G5" s="1948"/>
      <c r="H5" s="1948"/>
      <c r="I5" s="1948"/>
      <c r="J5" s="1948"/>
      <c r="K5" s="1948"/>
      <c r="L5" s="1948"/>
      <c r="M5" s="1948"/>
      <c r="N5" s="1948"/>
      <c r="O5" s="1949"/>
    </row>
    <row r="6" spans="1:25" s="4" customFormat="1" ht="20.100000000000001" customHeight="1">
      <c r="A6" s="1947"/>
      <c r="B6" s="1948"/>
      <c r="C6" s="1948"/>
      <c r="D6" s="1948"/>
      <c r="E6" s="1948"/>
      <c r="F6" s="1948"/>
      <c r="G6" s="1948"/>
      <c r="H6" s="1948"/>
      <c r="I6" s="1948"/>
      <c r="J6" s="1948"/>
      <c r="K6" s="1948"/>
      <c r="L6" s="1948"/>
      <c r="M6" s="1948"/>
      <c r="N6" s="1948"/>
      <c r="O6" s="1949"/>
    </row>
    <row r="7" spans="1:25" s="4" customFormat="1" ht="20.100000000000001" customHeight="1">
      <c r="A7" s="1947"/>
      <c r="B7" s="1948"/>
      <c r="C7" s="1948"/>
      <c r="D7" s="1948"/>
      <c r="E7" s="1948"/>
      <c r="F7" s="1948"/>
      <c r="G7" s="1948"/>
      <c r="H7" s="1948"/>
      <c r="I7" s="1948"/>
      <c r="J7" s="1948"/>
      <c r="K7" s="1948"/>
      <c r="L7" s="1948"/>
      <c r="M7" s="1948"/>
      <c r="N7" s="1948"/>
      <c r="O7" s="1949"/>
    </row>
    <row r="8" spans="1:25" s="4" customFormat="1" ht="20.100000000000001" customHeight="1">
      <c r="A8" s="1947"/>
      <c r="B8" s="1948"/>
      <c r="C8" s="1948"/>
      <c r="D8" s="1948"/>
      <c r="E8" s="1948"/>
      <c r="F8" s="1948"/>
      <c r="G8" s="1948"/>
      <c r="H8" s="1948"/>
      <c r="I8" s="1948"/>
      <c r="J8" s="1948"/>
      <c r="K8" s="1948"/>
      <c r="L8" s="1948"/>
      <c r="M8" s="1948"/>
      <c r="N8" s="1948"/>
      <c r="O8" s="1949"/>
    </row>
    <row r="9" spans="1:25" s="4" customFormat="1" ht="20.100000000000001" customHeight="1">
      <c r="A9" s="1947"/>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515"/>
      <c r="B15" s="516"/>
      <c r="C15" s="10"/>
      <c r="D15" s="1953" t="s">
        <v>5</v>
      </c>
      <c r="E15" s="2012"/>
      <c r="F15" s="2012"/>
      <c r="G15" s="2012"/>
      <c r="H15" s="11"/>
      <c r="I15" s="12" t="s">
        <v>6</v>
      </c>
      <c r="J15" s="13"/>
      <c r="K15" s="13"/>
      <c r="L15" s="13"/>
      <c r="M15" s="13"/>
      <c r="N15" s="13"/>
      <c r="O15" s="14"/>
      <c r="P15" s="15"/>
      <c r="Q15" s="16"/>
      <c r="R15" s="17"/>
      <c r="S15" s="17"/>
      <c r="T15" s="17"/>
      <c r="U15" s="17"/>
      <c r="V15" s="17"/>
      <c r="W15" s="15"/>
      <c r="X15" s="15"/>
      <c r="Y15" s="16"/>
    </row>
    <row r="16" spans="1:25" s="56" customFormat="1" ht="129" customHeight="1">
      <c r="A16" s="1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1874" t="s">
        <v>377</v>
      </c>
      <c r="B17" s="1855"/>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1854"/>
      <c r="B18" s="1855"/>
      <c r="C18" s="36">
        <v>2015</v>
      </c>
      <c r="D18" s="37">
        <v>8</v>
      </c>
      <c r="E18" s="38">
        <v>1</v>
      </c>
      <c r="F18" s="38">
        <v>1</v>
      </c>
      <c r="G18" s="32">
        <f>SUM(D18:F18)</f>
        <v>10</v>
      </c>
      <c r="H18" s="39"/>
      <c r="I18" s="38">
        <v>2</v>
      </c>
      <c r="J18" s="38"/>
      <c r="K18" s="38"/>
      <c r="L18" s="38"/>
      <c r="M18" s="38"/>
      <c r="N18" s="38"/>
      <c r="O18" s="40">
        <v>8</v>
      </c>
      <c r="P18" s="35"/>
      <c r="Q18" s="35"/>
      <c r="R18" s="35"/>
      <c r="S18" s="35"/>
      <c r="T18" s="35"/>
      <c r="U18" s="35"/>
      <c r="V18" s="35"/>
      <c r="W18" s="35"/>
      <c r="X18" s="35"/>
      <c r="Y18" s="35"/>
    </row>
    <row r="19" spans="1:25">
      <c r="A19" s="1854"/>
      <c r="B19" s="1855"/>
      <c r="C19" s="36">
        <v>2016</v>
      </c>
      <c r="D19" s="37">
        <v>26</v>
      </c>
      <c r="E19" s="38">
        <v>4</v>
      </c>
      <c r="F19" s="38"/>
      <c r="G19" s="32">
        <f t="shared" si="0"/>
        <v>30</v>
      </c>
      <c r="H19" s="39"/>
      <c r="I19" s="38">
        <v>6</v>
      </c>
      <c r="J19" s="38">
        <v>4</v>
      </c>
      <c r="K19" s="38">
        <v>2</v>
      </c>
      <c r="L19" s="38">
        <v>2</v>
      </c>
      <c r="M19" s="38"/>
      <c r="N19" s="38"/>
      <c r="O19" s="40">
        <v>16</v>
      </c>
      <c r="P19" s="35"/>
      <c r="Q19" s="35"/>
      <c r="R19" s="35"/>
      <c r="S19" s="35"/>
      <c r="T19" s="35"/>
      <c r="U19" s="35"/>
      <c r="V19" s="35"/>
      <c r="W19" s="35"/>
      <c r="X19" s="35"/>
      <c r="Y19" s="35"/>
    </row>
    <row r="20" spans="1:25">
      <c r="A20" s="1854"/>
      <c r="B20" s="1855"/>
      <c r="C20" s="36">
        <v>2017</v>
      </c>
      <c r="D20" s="37">
        <v>5</v>
      </c>
      <c r="E20" s="38">
        <v>1</v>
      </c>
      <c r="F20" s="38"/>
      <c r="G20" s="32">
        <f t="shared" si="0"/>
        <v>6</v>
      </c>
      <c r="H20" s="39"/>
      <c r="I20" s="38">
        <v>1</v>
      </c>
      <c r="J20" s="38"/>
      <c r="K20" s="38">
        <v>1</v>
      </c>
      <c r="L20" s="38"/>
      <c r="M20" s="38">
        <v>2</v>
      </c>
      <c r="N20" s="38"/>
      <c r="O20" s="40">
        <v>2</v>
      </c>
      <c r="P20" s="35"/>
      <c r="Q20" s="35"/>
      <c r="R20" s="35"/>
      <c r="S20" s="35"/>
      <c r="T20" s="35"/>
      <c r="U20" s="35"/>
      <c r="V20" s="35"/>
      <c r="W20" s="35"/>
      <c r="X20" s="35"/>
      <c r="Y20" s="35"/>
    </row>
    <row r="21" spans="1:25">
      <c r="A21" s="1854"/>
      <c r="B21" s="1855"/>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1854"/>
      <c r="B22" s="1855"/>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1854"/>
      <c r="B23" s="1855"/>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90" customHeight="1" thickBot="1">
      <c r="A24" s="1856"/>
      <c r="B24" s="1857"/>
      <c r="C24" s="42" t="s">
        <v>13</v>
      </c>
      <c r="D24" s="43">
        <f>SUM(D17:D23)</f>
        <v>39</v>
      </c>
      <c r="E24" s="44">
        <f>SUM(E17:E23)</f>
        <v>6</v>
      </c>
      <c r="F24" s="44">
        <f>SUM(F17:F23)</f>
        <v>1</v>
      </c>
      <c r="G24" s="45">
        <f>SUM(D24:F24)</f>
        <v>46</v>
      </c>
      <c r="H24" s="46">
        <f>SUM(H17:H23)</f>
        <v>0</v>
      </c>
      <c r="I24" s="47">
        <f>SUM(I17:I23)</f>
        <v>9</v>
      </c>
      <c r="J24" s="47">
        <f t="shared" ref="J24:N24" si="1">SUM(J17:J23)</f>
        <v>4</v>
      </c>
      <c r="K24" s="47">
        <f t="shared" si="1"/>
        <v>3</v>
      </c>
      <c r="L24" s="47">
        <f t="shared" si="1"/>
        <v>2</v>
      </c>
      <c r="M24" s="47">
        <f t="shared" si="1"/>
        <v>2</v>
      </c>
      <c r="N24" s="47">
        <f t="shared" si="1"/>
        <v>0</v>
      </c>
      <c r="O24" s="48">
        <f>SUM(O17:O23)</f>
        <v>26</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515"/>
      <c r="B26" s="516"/>
      <c r="C26" s="50"/>
      <c r="D26" s="1959" t="s">
        <v>5</v>
      </c>
      <c r="E26" s="2071"/>
      <c r="F26" s="2071"/>
      <c r="G26" s="2072"/>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1874" t="s">
        <v>378</v>
      </c>
      <c r="B28" s="1855"/>
      <c r="C28" s="57">
        <v>2014</v>
      </c>
      <c r="D28" s="33"/>
      <c r="E28" s="31"/>
      <c r="F28" s="31"/>
      <c r="G28" s="58">
        <f>SUM(D28:F28)</f>
        <v>0</v>
      </c>
      <c r="H28" s="35"/>
      <c r="I28" s="35"/>
      <c r="J28" s="35"/>
      <c r="K28" s="35"/>
      <c r="L28" s="35"/>
      <c r="M28" s="35"/>
      <c r="N28" s="35"/>
      <c r="O28" s="35"/>
      <c r="P28" s="35"/>
      <c r="Q28" s="7"/>
    </row>
    <row r="29" spans="1:25">
      <c r="A29" s="1854"/>
      <c r="B29" s="1855"/>
      <c r="C29" s="59">
        <v>2015</v>
      </c>
      <c r="D29" s="39">
        <v>6056</v>
      </c>
      <c r="E29" s="38">
        <v>49</v>
      </c>
      <c r="F29" s="38">
        <v>25</v>
      </c>
      <c r="G29" s="58">
        <f t="shared" ref="G29:G35" si="2">SUM(D29:F29)</f>
        <v>6130</v>
      </c>
      <c r="H29" s="35"/>
      <c r="I29" s="35"/>
      <c r="J29" s="35"/>
      <c r="K29" s="35"/>
      <c r="L29" s="35"/>
      <c r="M29" s="35"/>
      <c r="N29" s="35"/>
      <c r="O29" s="35"/>
      <c r="P29" s="35"/>
      <c r="Q29" s="7"/>
    </row>
    <row r="30" spans="1:25">
      <c r="A30" s="1854"/>
      <c r="B30" s="1855"/>
      <c r="C30" s="59">
        <v>2016</v>
      </c>
      <c r="D30" s="495">
        <v>13899</v>
      </c>
      <c r="E30" s="91">
        <v>49100</v>
      </c>
      <c r="F30" s="38"/>
      <c r="G30" s="58">
        <f t="shared" si="2"/>
        <v>62999</v>
      </c>
      <c r="H30" s="35"/>
      <c r="I30" s="35"/>
      <c r="J30" s="35"/>
      <c r="K30" s="35"/>
      <c r="L30" s="35"/>
      <c r="M30" s="35"/>
      <c r="N30" s="35"/>
      <c r="O30" s="35"/>
      <c r="P30" s="35"/>
      <c r="Q30" s="7"/>
    </row>
    <row r="31" spans="1:25">
      <c r="A31" s="1854"/>
      <c r="B31" s="1855"/>
      <c r="C31" s="59">
        <v>2017</v>
      </c>
      <c r="D31" s="39">
        <v>363</v>
      </c>
      <c r="E31" s="38">
        <v>35000</v>
      </c>
      <c r="F31" s="38"/>
      <c r="G31" s="58">
        <f t="shared" si="2"/>
        <v>35363</v>
      </c>
      <c r="H31" s="35"/>
      <c r="I31" s="35"/>
      <c r="J31" s="35"/>
      <c r="K31" s="35"/>
      <c r="L31" s="35"/>
      <c r="M31" s="35"/>
      <c r="N31" s="35"/>
      <c r="O31" s="35"/>
      <c r="P31" s="35"/>
      <c r="Q31" s="7"/>
    </row>
    <row r="32" spans="1:25">
      <c r="A32" s="1854"/>
      <c r="B32" s="1855"/>
      <c r="C32" s="59">
        <v>2018</v>
      </c>
      <c r="D32" s="39"/>
      <c r="E32" s="38"/>
      <c r="F32" s="38"/>
      <c r="G32" s="58">
        <f>SUM(D32:F32)</f>
        <v>0</v>
      </c>
      <c r="H32" s="35"/>
      <c r="I32" s="35"/>
      <c r="J32" s="35"/>
      <c r="K32" s="35"/>
      <c r="L32" s="35"/>
      <c r="M32" s="35"/>
      <c r="N32" s="35"/>
      <c r="O32" s="35"/>
      <c r="P32" s="35"/>
      <c r="Q32" s="7"/>
    </row>
    <row r="33" spans="1:17">
      <c r="A33" s="1854"/>
      <c r="B33" s="1855"/>
      <c r="C33" s="60">
        <v>2019</v>
      </c>
      <c r="D33" s="39"/>
      <c r="E33" s="38"/>
      <c r="F33" s="38"/>
      <c r="G33" s="58">
        <f t="shared" si="2"/>
        <v>0</v>
      </c>
      <c r="H33" s="35"/>
      <c r="I33" s="35"/>
      <c r="J33" s="35"/>
      <c r="K33" s="35"/>
      <c r="L33" s="35"/>
      <c r="M33" s="35"/>
      <c r="N33" s="35"/>
      <c r="O33" s="35"/>
      <c r="P33" s="35"/>
      <c r="Q33" s="7"/>
    </row>
    <row r="34" spans="1:17">
      <c r="A34" s="1854"/>
      <c r="B34" s="1855"/>
      <c r="C34" s="59">
        <v>2020</v>
      </c>
      <c r="D34" s="39"/>
      <c r="E34" s="38"/>
      <c r="F34" s="38"/>
      <c r="G34" s="58">
        <f t="shared" si="2"/>
        <v>0</v>
      </c>
      <c r="H34" s="35"/>
      <c r="I34" s="35"/>
      <c r="J34" s="35"/>
      <c r="K34" s="35"/>
      <c r="L34" s="35"/>
      <c r="M34" s="35"/>
      <c r="N34" s="35"/>
      <c r="O34" s="35"/>
      <c r="P34" s="35"/>
      <c r="Q34" s="7"/>
    </row>
    <row r="35" spans="1:17" ht="99" customHeight="1" thickBot="1">
      <c r="A35" s="1856"/>
      <c r="B35" s="1857"/>
      <c r="C35" s="61" t="s">
        <v>13</v>
      </c>
      <c r="D35" s="46">
        <f>SUM(D28:D34)</f>
        <v>20318</v>
      </c>
      <c r="E35" s="44">
        <f>SUM(E28:E34)</f>
        <v>84149</v>
      </c>
      <c r="F35" s="44">
        <f>SUM(F28:F34)</f>
        <v>25</v>
      </c>
      <c r="G35" s="48">
        <f t="shared" si="2"/>
        <v>104492</v>
      </c>
      <c r="H35" s="35"/>
      <c r="I35" s="35"/>
      <c r="J35" s="35"/>
      <c r="K35" s="35"/>
      <c r="L35" s="35"/>
      <c r="M35" s="35"/>
      <c r="N35" s="35"/>
      <c r="O35" s="35"/>
      <c r="P35" s="35"/>
      <c r="Q35" s="7"/>
    </row>
    <row r="36" spans="1:17">
      <c r="A36" s="62"/>
      <c r="B36" s="62"/>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535" t="s">
        <v>26</v>
      </c>
      <c r="B39" s="536" t="s">
        <v>171</v>
      </c>
      <c r="C39" s="68" t="s">
        <v>9</v>
      </c>
      <c r="D39" s="69" t="s">
        <v>28</v>
      </c>
      <c r="E39" s="70" t="s">
        <v>29</v>
      </c>
      <c r="F39" s="71"/>
      <c r="G39" s="28"/>
      <c r="H39" s="28"/>
    </row>
    <row r="40" spans="1:17">
      <c r="A40" s="1874"/>
      <c r="B40" s="1855"/>
      <c r="C40" s="72">
        <v>2014</v>
      </c>
      <c r="D40" s="30"/>
      <c r="E40" s="29"/>
      <c r="F40" s="7"/>
      <c r="G40" s="35"/>
      <c r="H40" s="35"/>
    </row>
    <row r="41" spans="1:17">
      <c r="A41" s="1854"/>
      <c r="B41" s="1855"/>
      <c r="C41" s="73">
        <v>2015</v>
      </c>
      <c r="D41" s="37">
        <v>9817</v>
      </c>
      <c r="E41" s="36">
        <v>3009</v>
      </c>
      <c r="F41" s="7"/>
      <c r="G41" s="35"/>
      <c r="H41" s="35"/>
    </row>
    <row r="42" spans="1:17">
      <c r="A42" s="1854"/>
      <c r="B42" s="1855"/>
      <c r="C42" s="73">
        <v>2016</v>
      </c>
      <c r="D42" s="37">
        <v>5877</v>
      </c>
      <c r="E42" s="36">
        <v>4084</v>
      </c>
      <c r="F42" s="7"/>
      <c r="G42" s="35"/>
      <c r="H42" s="35"/>
    </row>
    <row r="43" spans="1:17">
      <c r="A43" s="1854"/>
      <c r="B43" s="1855"/>
      <c r="C43" s="73">
        <v>2017</v>
      </c>
      <c r="D43" s="1485">
        <v>4039</v>
      </c>
      <c r="E43" s="1485">
        <v>2842</v>
      </c>
      <c r="F43" s="7"/>
      <c r="G43" s="35"/>
      <c r="H43" s="35"/>
    </row>
    <row r="44" spans="1:17">
      <c r="A44" s="1854"/>
      <c r="B44" s="1855"/>
      <c r="C44" s="73">
        <v>2018</v>
      </c>
      <c r="D44" s="37"/>
      <c r="E44" s="36"/>
      <c r="F44" s="7"/>
      <c r="G44" s="35"/>
      <c r="H44" s="35"/>
    </row>
    <row r="45" spans="1:17">
      <c r="A45" s="1854"/>
      <c r="B45" s="1855"/>
      <c r="C45" s="73">
        <v>2019</v>
      </c>
      <c r="D45" s="37"/>
      <c r="E45" s="36"/>
      <c r="F45" s="7"/>
      <c r="G45" s="35"/>
      <c r="H45" s="35"/>
    </row>
    <row r="46" spans="1:17">
      <c r="A46" s="1854"/>
      <c r="B46" s="1855"/>
      <c r="C46" s="73">
        <v>2020</v>
      </c>
      <c r="D46" s="37"/>
      <c r="E46" s="36"/>
      <c r="F46" s="7"/>
      <c r="G46" s="35"/>
      <c r="H46" s="35"/>
    </row>
    <row r="47" spans="1:17" ht="15.75" thickBot="1">
      <c r="A47" s="1856"/>
      <c r="B47" s="1857"/>
      <c r="C47" s="42" t="s">
        <v>13</v>
      </c>
      <c r="D47" s="43">
        <f>SUM(D40:D46)</f>
        <v>19733</v>
      </c>
      <c r="E47" s="455">
        <f>SUM(E40:E46)</f>
        <v>9935</v>
      </c>
      <c r="F47" s="78"/>
      <c r="G47" s="35"/>
      <c r="H47" s="35"/>
    </row>
    <row r="48" spans="1:17" s="35" customFormat="1" ht="15.75" thickBot="1">
      <c r="A48" s="539"/>
      <c r="B48" s="80"/>
      <c r="C48" s="81"/>
    </row>
    <row r="49" spans="1:15" ht="83.25" customHeight="1">
      <c r="A49" s="82" t="s">
        <v>32</v>
      </c>
      <c r="B49" s="536" t="s">
        <v>171</v>
      </c>
      <c r="C49" s="84" t="s">
        <v>9</v>
      </c>
      <c r="D49" s="69" t="s">
        <v>34</v>
      </c>
      <c r="E49" s="85" t="s">
        <v>35</v>
      </c>
      <c r="F49" s="85" t="s">
        <v>36</v>
      </c>
      <c r="G49" s="85" t="s">
        <v>37</v>
      </c>
      <c r="H49" s="85" t="s">
        <v>38</v>
      </c>
      <c r="I49" s="85" t="s">
        <v>39</v>
      </c>
      <c r="J49" s="85" t="s">
        <v>40</v>
      </c>
      <c r="K49" s="86" t="s">
        <v>41</v>
      </c>
    </row>
    <row r="50" spans="1:15" ht="17.25" customHeight="1">
      <c r="A50" s="1872"/>
      <c r="B50" s="1879"/>
      <c r="C50" s="87" t="s">
        <v>43</v>
      </c>
      <c r="D50" s="30"/>
      <c r="E50" s="31"/>
      <c r="F50" s="31"/>
      <c r="G50" s="31"/>
      <c r="H50" s="31"/>
      <c r="I50" s="31"/>
      <c r="J50" s="31"/>
      <c r="K50" s="34"/>
    </row>
    <row r="51" spans="1:15" ht="15" customHeight="1">
      <c r="A51" s="1874"/>
      <c r="B51" s="1881"/>
      <c r="C51" s="73">
        <v>2014</v>
      </c>
      <c r="D51" s="37"/>
      <c r="E51" s="38"/>
      <c r="F51" s="38"/>
      <c r="G51" s="38"/>
      <c r="H51" s="38"/>
      <c r="I51" s="38"/>
      <c r="J51" s="38"/>
      <c r="K51" s="88"/>
    </row>
    <row r="52" spans="1:15">
      <c r="A52" s="1874"/>
      <c r="B52" s="1881"/>
      <c r="C52" s="73">
        <v>2015</v>
      </c>
      <c r="D52" s="37"/>
      <c r="E52" s="38"/>
      <c r="F52" s="38"/>
      <c r="G52" s="38"/>
      <c r="H52" s="38"/>
      <c r="I52" s="38"/>
      <c r="J52" s="38"/>
      <c r="K52" s="88"/>
    </row>
    <row r="53" spans="1:15">
      <c r="A53" s="1874"/>
      <c r="B53" s="1881"/>
      <c r="C53" s="73">
        <v>2016</v>
      </c>
      <c r="D53" s="37"/>
      <c r="E53" s="38"/>
      <c r="F53" s="38"/>
      <c r="G53" s="38"/>
      <c r="H53" s="38"/>
      <c r="I53" s="38"/>
      <c r="J53" s="38"/>
      <c r="K53" s="88"/>
    </row>
    <row r="54" spans="1:15">
      <c r="A54" s="1874"/>
      <c r="B54" s="1881"/>
      <c r="C54" s="73">
        <v>2017</v>
      </c>
      <c r="D54" s="37"/>
      <c r="E54" s="38"/>
      <c r="F54" s="38"/>
      <c r="G54" s="38"/>
      <c r="H54" s="38"/>
      <c r="I54" s="38"/>
      <c r="J54" s="38"/>
      <c r="K54" s="88"/>
    </row>
    <row r="55" spans="1:15">
      <c r="A55" s="1874"/>
      <c r="B55" s="1881"/>
      <c r="C55" s="73">
        <v>2018</v>
      </c>
      <c r="D55" s="37"/>
      <c r="E55" s="38"/>
      <c r="F55" s="38"/>
      <c r="G55" s="38"/>
      <c r="H55" s="38"/>
      <c r="I55" s="38"/>
      <c r="J55" s="38"/>
      <c r="K55" s="88"/>
    </row>
    <row r="56" spans="1:15">
      <c r="A56" s="1874"/>
      <c r="B56" s="1881"/>
      <c r="C56" s="73">
        <v>2019</v>
      </c>
      <c r="D56" s="37"/>
      <c r="E56" s="38"/>
      <c r="F56" s="38"/>
      <c r="G56" s="38"/>
      <c r="H56" s="38"/>
      <c r="I56" s="38"/>
      <c r="J56" s="38"/>
      <c r="K56" s="88"/>
    </row>
    <row r="57" spans="1:15">
      <c r="A57" s="1874"/>
      <c r="B57" s="1881"/>
      <c r="C57" s="73">
        <v>2020</v>
      </c>
      <c r="D57" s="37"/>
      <c r="E57" s="38"/>
      <c r="F57" s="38"/>
      <c r="G57" s="38"/>
      <c r="H57" s="38"/>
      <c r="I57" s="38"/>
      <c r="J57" s="38"/>
      <c r="K57" s="93"/>
    </row>
    <row r="58" spans="1:15" ht="20.25" customHeight="1" thickBot="1">
      <c r="A58" s="1876"/>
      <c r="B58" s="1883"/>
      <c r="C58" s="42" t="s">
        <v>13</v>
      </c>
      <c r="D58" s="43">
        <f>SUM(D51:D57)</f>
        <v>0</v>
      </c>
      <c r="E58" s="44">
        <f>SUM(E51:E57)</f>
        <v>0</v>
      </c>
      <c r="F58" s="44">
        <f>SUM(F51:F57)</f>
        <v>0</v>
      </c>
      <c r="G58" s="44">
        <f>SUM(G51:G57)</f>
        <v>0</v>
      </c>
      <c r="H58" s="44">
        <f>SUM(H51:H57)</f>
        <v>0</v>
      </c>
      <c r="I58" s="44">
        <f t="shared" ref="I58" si="3">SUM(I51:I57)</f>
        <v>0</v>
      </c>
      <c r="J58" s="44">
        <f>SUM(J51:J57)</f>
        <v>0</v>
      </c>
      <c r="K58" s="48">
        <f>SUM(K50:K56)</f>
        <v>0</v>
      </c>
    </row>
    <row r="59" spans="1:15" ht="15.75" thickBot="1"/>
    <row r="60" spans="1:15" ht="21" customHeight="1">
      <c r="A60" s="2073" t="s">
        <v>44</v>
      </c>
      <c r="B60" s="540"/>
      <c r="C60" s="2074" t="s">
        <v>9</v>
      </c>
      <c r="D60" s="1941" t="s">
        <v>45</v>
      </c>
      <c r="E60" s="96" t="s">
        <v>6</v>
      </c>
      <c r="F60" s="541"/>
      <c r="G60" s="541"/>
      <c r="H60" s="541"/>
      <c r="I60" s="541"/>
      <c r="J60" s="541"/>
      <c r="K60" s="541"/>
      <c r="L60" s="542"/>
    </row>
    <row r="61" spans="1:15" ht="115.5" customHeight="1">
      <c r="A61" s="1970"/>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1898" t="s">
        <v>379</v>
      </c>
      <c r="B62" s="1899"/>
      <c r="C62" s="106">
        <v>2014</v>
      </c>
      <c r="D62" s="107"/>
      <c r="E62" s="108"/>
      <c r="F62" s="109"/>
      <c r="G62" s="109"/>
      <c r="H62" s="109"/>
      <c r="I62" s="109"/>
      <c r="J62" s="109"/>
      <c r="K62" s="109"/>
      <c r="L62" s="34"/>
      <c r="M62" s="7"/>
      <c r="N62" s="7"/>
      <c r="O62" s="7"/>
    </row>
    <row r="63" spans="1:15">
      <c r="A63" s="1891"/>
      <c r="B63" s="1899"/>
      <c r="C63" s="110">
        <v>2015</v>
      </c>
      <c r="D63" s="111">
        <v>2</v>
      </c>
      <c r="E63" s="112"/>
      <c r="F63" s="38"/>
      <c r="G63" s="38"/>
      <c r="H63" s="38"/>
      <c r="I63" s="38">
        <v>1</v>
      </c>
      <c r="J63" s="38"/>
      <c r="K63" s="38"/>
      <c r="L63" s="88">
        <v>1</v>
      </c>
      <c r="M63" s="7"/>
      <c r="N63" s="7"/>
      <c r="O63" s="7"/>
    </row>
    <row r="64" spans="1:15">
      <c r="A64" s="1891"/>
      <c r="B64" s="1899"/>
      <c r="C64" s="110">
        <v>2016</v>
      </c>
      <c r="D64" s="111">
        <v>4</v>
      </c>
      <c r="E64" s="112"/>
      <c r="F64" s="38">
        <v>1</v>
      </c>
      <c r="G64" s="38"/>
      <c r="H64" s="38">
        <v>1</v>
      </c>
      <c r="I64" s="38"/>
      <c r="J64" s="38"/>
      <c r="K64" s="38"/>
      <c r="L64" s="88">
        <v>2</v>
      </c>
      <c r="M64" s="7"/>
      <c r="N64" s="7"/>
      <c r="O64" s="7"/>
    </row>
    <row r="65" spans="1:20">
      <c r="A65" s="1891"/>
      <c r="B65" s="1899"/>
      <c r="C65" s="110">
        <v>2017</v>
      </c>
      <c r="D65" s="111">
        <v>2</v>
      </c>
      <c r="E65" s="112"/>
      <c r="F65" s="38"/>
      <c r="G65" s="38"/>
      <c r="H65" s="38">
        <v>2</v>
      </c>
      <c r="I65" s="38"/>
      <c r="J65" s="38"/>
      <c r="K65" s="38"/>
      <c r="L65" s="88"/>
      <c r="M65" s="7"/>
      <c r="N65" s="7"/>
      <c r="O65" s="7"/>
    </row>
    <row r="66" spans="1:20">
      <c r="A66" s="1891"/>
      <c r="B66" s="1899"/>
      <c r="C66" s="110">
        <v>2018</v>
      </c>
      <c r="D66" s="111"/>
      <c r="E66" s="112"/>
      <c r="F66" s="38"/>
      <c r="G66" s="38"/>
      <c r="H66" s="38"/>
      <c r="I66" s="38"/>
      <c r="J66" s="38"/>
      <c r="K66" s="38"/>
      <c r="L66" s="88"/>
      <c r="M66" s="7"/>
      <c r="N66" s="7"/>
      <c r="O66" s="7"/>
    </row>
    <row r="67" spans="1:20" ht="17.25" customHeight="1">
      <c r="A67" s="1891"/>
      <c r="B67" s="1899"/>
      <c r="C67" s="110">
        <v>2019</v>
      </c>
      <c r="D67" s="111"/>
      <c r="E67" s="112"/>
      <c r="F67" s="38"/>
      <c r="G67" s="38"/>
      <c r="H67" s="38"/>
      <c r="I67" s="38"/>
      <c r="J67" s="38"/>
      <c r="K67" s="38"/>
      <c r="L67" s="88"/>
      <c r="M67" s="7"/>
      <c r="N67" s="7"/>
      <c r="O67" s="7"/>
    </row>
    <row r="68" spans="1:20" ht="16.5" customHeight="1">
      <c r="A68" s="1891"/>
      <c r="B68" s="1899"/>
      <c r="C68" s="110">
        <v>2020</v>
      </c>
      <c r="D68" s="111"/>
      <c r="E68" s="112"/>
      <c r="F68" s="38"/>
      <c r="G68" s="38"/>
      <c r="H68" s="38"/>
      <c r="I68" s="38"/>
      <c r="J68" s="38"/>
      <c r="K68" s="38"/>
      <c r="L68" s="88"/>
      <c r="M68" s="78"/>
      <c r="N68" s="78"/>
      <c r="O68" s="78"/>
    </row>
    <row r="69" spans="1:20" ht="18" customHeight="1" thickBot="1">
      <c r="A69" s="1980"/>
      <c r="B69" s="1900"/>
      <c r="C69" s="113" t="s">
        <v>13</v>
      </c>
      <c r="D69" s="114">
        <f>SUM(D62:D68)</f>
        <v>8</v>
      </c>
      <c r="E69" s="115">
        <f>SUM(E62:E68)</f>
        <v>0</v>
      </c>
      <c r="F69" s="116">
        <f t="shared" ref="F69:I69" si="4">SUM(F62:F68)</f>
        <v>1</v>
      </c>
      <c r="G69" s="116">
        <f t="shared" si="4"/>
        <v>0</v>
      </c>
      <c r="H69" s="116">
        <f t="shared" si="4"/>
        <v>3</v>
      </c>
      <c r="I69" s="116">
        <f t="shared" si="4"/>
        <v>1</v>
      </c>
      <c r="J69" s="116"/>
      <c r="K69" s="116">
        <f>SUM(K62:K68)</f>
        <v>0</v>
      </c>
      <c r="L69" s="117">
        <f>SUM(L62:L68)</f>
        <v>3</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535" t="s">
        <v>47</v>
      </c>
      <c r="B71" s="536"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1874" t="s">
        <v>380</v>
      </c>
      <c r="B72" s="1899"/>
      <c r="C72" s="72">
        <v>2014</v>
      </c>
      <c r="D72" s="131"/>
      <c r="E72" s="131"/>
      <c r="F72" s="131"/>
      <c r="G72" s="132">
        <f>SUM(D72:F72)</f>
        <v>0</v>
      </c>
      <c r="H72" s="30"/>
      <c r="I72" s="133"/>
      <c r="J72" s="109"/>
      <c r="K72" s="109"/>
      <c r="L72" s="109"/>
      <c r="M72" s="109"/>
      <c r="N72" s="109"/>
      <c r="O72" s="134"/>
    </row>
    <row r="73" spans="1:20">
      <c r="A73" s="1854"/>
      <c r="B73" s="1899"/>
      <c r="C73" s="73">
        <v>2015</v>
      </c>
      <c r="D73" s="135"/>
      <c r="E73" s="135">
        <v>1</v>
      </c>
      <c r="F73" s="135">
        <v>79</v>
      </c>
      <c r="G73" s="132">
        <f t="shared" ref="G73:G78" si="5">SUM(D73:F73)</f>
        <v>80</v>
      </c>
      <c r="H73" s="37"/>
      <c r="I73" s="37">
        <v>1</v>
      </c>
      <c r="J73" s="38"/>
      <c r="K73" s="38"/>
      <c r="L73" s="38"/>
      <c r="M73" s="38"/>
      <c r="N73" s="38"/>
      <c r="O73" s="88">
        <v>79</v>
      </c>
    </row>
    <row r="74" spans="1:20">
      <c r="A74" s="1854"/>
      <c r="B74" s="1899"/>
      <c r="C74" s="73">
        <v>2016</v>
      </c>
      <c r="D74" s="135">
        <v>5</v>
      </c>
      <c r="E74" s="135">
        <v>6</v>
      </c>
      <c r="F74" s="135">
        <v>12</v>
      </c>
      <c r="G74" s="132">
        <f t="shared" si="5"/>
        <v>23</v>
      </c>
      <c r="H74" s="37"/>
      <c r="I74" s="37">
        <v>2</v>
      </c>
      <c r="J74" s="38">
        <v>2</v>
      </c>
      <c r="K74" s="38">
        <v>4</v>
      </c>
      <c r="L74" s="38"/>
      <c r="M74" s="38"/>
      <c r="N74" s="38"/>
      <c r="O74" s="88">
        <v>15</v>
      </c>
    </row>
    <row r="75" spans="1:20">
      <c r="A75" s="1854"/>
      <c r="B75" s="1899"/>
      <c r="C75" s="73">
        <v>2017</v>
      </c>
      <c r="D75" s="135">
        <v>5</v>
      </c>
      <c r="E75" s="135">
        <v>1</v>
      </c>
      <c r="F75" s="135">
        <v>2</v>
      </c>
      <c r="G75" s="132">
        <f t="shared" si="5"/>
        <v>8</v>
      </c>
      <c r="H75" s="37"/>
      <c r="I75" s="37">
        <v>4</v>
      </c>
      <c r="J75" s="38"/>
      <c r="K75" s="38"/>
      <c r="L75" s="38"/>
      <c r="M75" s="38"/>
      <c r="N75" s="38"/>
      <c r="O75" s="88">
        <v>4</v>
      </c>
    </row>
    <row r="76" spans="1:20">
      <c r="A76" s="1854"/>
      <c r="B76" s="1899"/>
      <c r="C76" s="73">
        <v>2018</v>
      </c>
      <c r="D76" s="135"/>
      <c r="E76" s="135"/>
      <c r="F76" s="135"/>
      <c r="G76" s="132">
        <f t="shared" si="5"/>
        <v>0</v>
      </c>
      <c r="H76" s="37"/>
      <c r="I76" s="37"/>
      <c r="J76" s="38"/>
      <c r="K76" s="38"/>
      <c r="L76" s="38"/>
      <c r="M76" s="38"/>
      <c r="N76" s="38"/>
      <c r="O76" s="88"/>
    </row>
    <row r="77" spans="1:20" ht="15.75" customHeight="1">
      <c r="A77" s="1854"/>
      <c r="B77" s="1899"/>
      <c r="C77" s="73">
        <v>2019</v>
      </c>
      <c r="D77" s="135"/>
      <c r="E77" s="135"/>
      <c r="F77" s="135"/>
      <c r="G77" s="132">
        <f t="shared" si="5"/>
        <v>0</v>
      </c>
      <c r="H77" s="37"/>
      <c r="I77" s="37"/>
      <c r="J77" s="38"/>
      <c r="K77" s="38"/>
      <c r="L77" s="38"/>
      <c r="M77" s="38"/>
      <c r="N77" s="38"/>
      <c r="O77" s="88"/>
    </row>
    <row r="78" spans="1:20" ht="17.25" customHeight="1">
      <c r="A78" s="1854"/>
      <c r="B78" s="1899"/>
      <c r="C78" s="73">
        <v>2020</v>
      </c>
      <c r="D78" s="135"/>
      <c r="E78" s="135"/>
      <c r="F78" s="135"/>
      <c r="G78" s="132">
        <f t="shared" si="5"/>
        <v>0</v>
      </c>
      <c r="H78" s="37"/>
      <c r="I78" s="37"/>
      <c r="J78" s="38"/>
      <c r="K78" s="38"/>
      <c r="L78" s="38"/>
      <c r="M78" s="38"/>
      <c r="N78" s="38"/>
      <c r="O78" s="88"/>
    </row>
    <row r="79" spans="1:20" ht="54" customHeight="1" thickBot="1">
      <c r="A79" s="1980"/>
      <c r="B79" s="1900"/>
      <c r="C79" s="136" t="s">
        <v>13</v>
      </c>
      <c r="D79" s="114">
        <f>SUM(D72:D78)</f>
        <v>10</v>
      </c>
      <c r="E79" s="114">
        <f>SUM(E72:E78)</f>
        <v>8</v>
      </c>
      <c r="F79" s="114">
        <f>SUM(F72:F78)</f>
        <v>93</v>
      </c>
      <c r="G79" s="137">
        <f>SUM(G72:G78)</f>
        <v>111</v>
      </c>
      <c r="H79" s="138">
        <v>0</v>
      </c>
      <c r="I79" s="139">
        <f t="shared" ref="I79:O79" si="6">SUM(I72:I78)</f>
        <v>7</v>
      </c>
      <c r="J79" s="116">
        <f t="shared" si="6"/>
        <v>2</v>
      </c>
      <c r="K79" s="116">
        <f t="shared" si="6"/>
        <v>4</v>
      </c>
      <c r="L79" s="116">
        <f t="shared" si="6"/>
        <v>0</v>
      </c>
      <c r="M79" s="116">
        <f t="shared" si="6"/>
        <v>0</v>
      </c>
      <c r="N79" s="116">
        <f t="shared" si="6"/>
        <v>0</v>
      </c>
      <c r="O79" s="117">
        <f t="shared" si="6"/>
        <v>98</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547" t="s">
        <v>56</v>
      </c>
      <c r="B84" s="548" t="s">
        <v>178</v>
      </c>
      <c r="C84" s="149" t="s">
        <v>9</v>
      </c>
      <c r="D84" s="150" t="s">
        <v>58</v>
      </c>
      <c r="E84" s="151" t="s">
        <v>59</v>
      </c>
      <c r="F84" s="152" t="s">
        <v>60</v>
      </c>
      <c r="G84" s="152" t="s">
        <v>61</v>
      </c>
      <c r="H84" s="152" t="s">
        <v>62</v>
      </c>
      <c r="I84" s="152" t="s">
        <v>63</v>
      </c>
      <c r="J84" s="152" t="s">
        <v>64</v>
      </c>
      <c r="K84" s="153" t="s">
        <v>65</v>
      </c>
    </row>
    <row r="85" spans="1:16" ht="15" customHeight="1">
      <c r="A85" s="1938"/>
      <c r="B85" s="1899"/>
      <c r="C85" s="72">
        <v>2014</v>
      </c>
      <c r="D85" s="154"/>
      <c r="E85" s="155"/>
      <c r="F85" s="31"/>
      <c r="G85" s="31"/>
      <c r="H85" s="31"/>
      <c r="I85" s="31"/>
      <c r="J85" s="31"/>
      <c r="K85" s="34"/>
    </row>
    <row r="86" spans="1:16">
      <c r="A86" s="1939"/>
      <c r="B86" s="1899"/>
      <c r="C86" s="73">
        <v>2015</v>
      </c>
      <c r="D86" s="156"/>
      <c r="E86" s="112"/>
      <c r="F86" s="38"/>
      <c r="G86" s="38"/>
      <c r="H86" s="38"/>
      <c r="I86" s="38"/>
      <c r="J86" s="38"/>
      <c r="K86" s="88"/>
    </row>
    <row r="87" spans="1:16">
      <c r="A87" s="1939"/>
      <c r="B87" s="1899"/>
      <c r="C87" s="73">
        <v>2016</v>
      </c>
      <c r="D87" s="156"/>
      <c r="E87" s="112"/>
      <c r="F87" s="38"/>
      <c r="G87" s="38"/>
      <c r="H87" s="38"/>
      <c r="I87" s="38"/>
      <c r="J87" s="38"/>
      <c r="K87" s="88"/>
    </row>
    <row r="88" spans="1:16">
      <c r="A88" s="1939"/>
      <c r="B88" s="1899"/>
      <c r="C88" s="73">
        <v>2017</v>
      </c>
      <c r="D88" s="156"/>
      <c r="E88" s="112"/>
      <c r="F88" s="38"/>
      <c r="G88" s="38"/>
      <c r="H88" s="38"/>
      <c r="I88" s="38"/>
      <c r="J88" s="38"/>
      <c r="K88" s="88"/>
    </row>
    <row r="89" spans="1:16">
      <c r="A89" s="1939"/>
      <c r="B89" s="1899"/>
      <c r="C89" s="73">
        <v>2018</v>
      </c>
      <c r="D89" s="156"/>
      <c r="E89" s="112"/>
      <c r="F89" s="38"/>
      <c r="G89" s="38"/>
      <c r="H89" s="38"/>
      <c r="I89" s="38"/>
      <c r="J89" s="38"/>
      <c r="K89" s="88"/>
    </row>
    <row r="90" spans="1:16">
      <c r="A90" s="1939"/>
      <c r="B90" s="1899"/>
      <c r="C90" s="73">
        <v>2019</v>
      </c>
      <c r="D90" s="156"/>
      <c r="E90" s="112"/>
      <c r="F90" s="38"/>
      <c r="G90" s="38"/>
      <c r="H90" s="38"/>
      <c r="I90" s="38"/>
      <c r="J90" s="38"/>
      <c r="K90" s="88"/>
    </row>
    <row r="91" spans="1:16">
      <c r="A91" s="1939"/>
      <c r="B91" s="1899"/>
      <c r="C91" s="73">
        <v>2020</v>
      </c>
      <c r="D91" s="156"/>
      <c r="E91" s="112"/>
      <c r="F91" s="38"/>
      <c r="G91" s="38"/>
      <c r="H91" s="38"/>
      <c r="I91" s="38"/>
      <c r="J91" s="38"/>
      <c r="K91" s="88"/>
    </row>
    <row r="92" spans="1:16" ht="18" customHeight="1" thickBot="1">
      <c r="A92" s="1940"/>
      <c r="B92" s="1900"/>
      <c r="C92" s="136" t="s">
        <v>13</v>
      </c>
      <c r="D92" s="157">
        <f t="shared" ref="D92:I92" si="7">SUM(D85:D91)</f>
        <v>0</v>
      </c>
      <c r="E92" s="115">
        <f t="shared" si="7"/>
        <v>0</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051" t="s">
        <v>68</v>
      </c>
      <c r="B96" s="2052" t="s">
        <v>179</v>
      </c>
      <c r="C96" s="2058" t="s">
        <v>9</v>
      </c>
      <c r="D96" s="1916" t="s">
        <v>70</v>
      </c>
      <c r="E96" s="1917"/>
      <c r="F96" s="162" t="s">
        <v>71</v>
      </c>
      <c r="G96" s="549"/>
      <c r="H96" s="549"/>
      <c r="I96" s="549"/>
      <c r="J96" s="549"/>
      <c r="K96" s="549"/>
      <c r="L96" s="549"/>
      <c r="M96" s="550"/>
      <c r="N96" s="165"/>
      <c r="O96" s="165"/>
      <c r="P96" s="165"/>
    </row>
    <row r="97" spans="1:16" ht="100.5" customHeight="1">
      <c r="A97" s="1910"/>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1898" t="s">
        <v>381</v>
      </c>
      <c r="B98" s="1899"/>
      <c r="C98" s="106">
        <v>2014</v>
      </c>
      <c r="D98" s="30"/>
      <c r="E98" s="31"/>
      <c r="F98" s="174"/>
      <c r="G98" s="175"/>
      <c r="H98" s="175"/>
      <c r="I98" s="175"/>
      <c r="J98" s="175"/>
      <c r="K98" s="175"/>
      <c r="L98" s="175"/>
      <c r="M98" s="176"/>
      <c r="N98" s="165"/>
      <c r="O98" s="165"/>
      <c r="P98" s="165"/>
    </row>
    <row r="99" spans="1:16" ht="16.5" customHeight="1">
      <c r="A99" s="1891"/>
      <c r="B99" s="1899"/>
      <c r="C99" s="110">
        <v>2015</v>
      </c>
      <c r="D99" s="37">
        <v>1</v>
      </c>
      <c r="E99" s="38">
        <v>1</v>
      </c>
      <c r="F99" s="177"/>
      <c r="G99" s="178"/>
      <c r="H99" s="178"/>
      <c r="I99" s="178"/>
      <c r="J99" s="178"/>
      <c r="K99" s="178"/>
      <c r="L99" s="178"/>
      <c r="M99" s="179">
        <v>1</v>
      </c>
      <c r="N99" s="165"/>
      <c r="O99" s="165"/>
      <c r="P99" s="165"/>
    </row>
    <row r="100" spans="1:16" ht="16.5" customHeight="1">
      <c r="A100" s="1891"/>
      <c r="B100" s="1899"/>
      <c r="C100" s="110">
        <v>2016</v>
      </c>
      <c r="D100" s="37">
        <v>1</v>
      </c>
      <c r="E100" s="38">
        <v>7</v>
      </c>
      <c r="F100" s="177"/>
      <c r="G100" s="178"/>
      <c r="H100" s="178"/>
      <c r="I100" s="178"/>
      <c r="J100" s="178"/>
      <c r="K100" s="178"/>
      <c r="L100" s="178"/>
      <c r="M100" s="179">
        <v>1</v>
      </c>
      <c r="N100" s="165"/>
      <c r="O100" s="165"/>
      <c r="P100" s="165"/>
    </row>
    <row r="101" spans="1:16" ht="16.5" customHeight="1">
      <c r="A101" s="1891"/>
      <c r="B101" s="1899"/>
      <c r="C101" s="110">
        <v>2017</v>
      </c>
      <c r="D101" s="37">
        <v>1</v>
      </c>
      <c r="E101" s="38">
        <v>6</v>
      </c>
      <c r="F101" s="177"/>
      <c r="G101" s="178"/>
      <c r="H101" s="178"/>
      <c r="I101" s="178"/>
      <c r="J101" s="178"/>
      <c r="K101" s="178"/>
      <c r="L101" s="178"/>
      <c r="M101" s="179">
        <v>1</v>
      </c>
      <c r="N101" s="165"/>
      <c r="O101" s="165"/>
      <c r="P101" s="165"/>
    </row>
    <row r="102" spans="1:16" ht="15.75" customHeight="1">
      <c r="A102" s="1891"/>
      <c r="B102" s="1899"/>
      <c r="C102" s="110">
        <v>2018</v>
      </c>
      <c r="D102" s="37"/>
      <c r="E102" s="38"/>
      <c r="F102" s="177"/>
      <c r="G102" s="178"/>
      <c r="H102" s="178"/>
      <c r="I102" s="178"/>
      <c r="J102" s="178"/>
      <c r="K102" s="178"/>
      <c r="L102" s="178"/>
      <c r="M102" s="179"/>
      <c r="N102" s="165"/>
      <c r="O102" s="165"/>
      <c r="P102" s="165"/>
    </row>
    <row r="103" spans="1:16" ht="14.25" customHeight="1">
      <c r="A103" s="1891"/>
      <c r="B103" s="1899"/>
      <c r="C103" s="110">
        <v>2019</v>
      </c>
      <c r="D103" s="37"/>
      <c r="E103" s="38"/>
      <c r="F103" s="177"/>
      <c r="G103" s="178"/>
      <c r="H103" s="178"/>
      <c r="I103" s="178"/>
      <c r="J103" s="178"/>
      <c r="K103" s="178"/>
      <c r="L103" s="178"/>
      <c r="M103" s="179"/>
      <c r="N103" s="165"/>
      <c r="O103" s="165"/>
      <c r="P103" s="165"/>
    </row>
    <row r="104" spans="1:16" ht="14.25" customHeight="1">
      <c r="A104" s="1891"/>
      <c r="B104" s="1899"/>
      <c r="C104" s="110">
        <v>2020</v>
      </c>
      <c r="D104" s="37"/>
      <c r="E104" s="38"/>
      <c r="F104" s="177"/>
      <c r="G104" s="178"/>
      <c r="H104" s="178"/>
      <c r="I104" s="178"/>
      <c r="J104" s="178"/>
      <c r="K104" s="178"/>
      <c r="L104" s="178"/>
      <c r="M104" s="179"/>
      <c r="N104" s="165"/>
      <c r="O104" s="165"/>
      <c r="P104" s="165"/>
    </row>
    <row r="105" spans="1:16" ht="19.5" customHeight="1" thickBot="1">
      <c r="A105" s="1915"/>
      <c r="B105" s="1900"/>
      <c r="C105" s="113" t="s">
        <v>13</v>
      </c>
      <c r="D105" s="139">
        <f>SUM(D98:D104)</f>
        <v>3</v>
      </c>
      <c r="E105" s="116">
        <f t="shared" ref="E105:K105" si="8">SUM(E98:E104)</f>
        <v>14</v>
      </c>
      <c r="F105" s="180">
        <f t="shared" si="8"/>
        <v>0</v>
      </c>
      <c r="G105" s="181">
        <f t="shared" si="8"/>
        <v>0</v>
      </c>
      <c r="H105" s="181">
        <f t="shared" si="8"/>
        <v>0</v>
      </c>
      <c r="I105" s="181">
        <f>SUM(I98:I104)</f>
        <v>0</v>
      </c>
      <c r="J105" s="181">
        <f t="shared" si="8"/>
        <v>0</v>
      </c>
      <c r="K105" s="181">
        <f t="shared" si="8"/>
        <v>0</v>
      </c>
      <c r="L105" s="181">
        <f>SUM(L98:L104)</f>
        <v>0</v>
      </c>
      <c r="M105" s="182">
        <f>SUM(M98:M104)</f>
        <v>3</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051" t="s">
        <v>77</v>
      </c>
      <c r="B107" s="2052" t="s">
        <v>179</v>
      </c>
      <c r="C107" s="2058" t="s">
        <v>9</v>
      </c>
      <c r="D107" s="1926" t="s">
        <v>78</v>
      </c>
      <c r="E107" s="162" t="s">
        <v>79</v>
      </c>
      <c r="F107" s="549"/>
      <c r="G107" s="549"/>
      <c r="H107" s="549"/>
      <c r="I107" s="549"/>
      <c r="J107" s="549"/>
      <c r="K107" s="549"/>
      <c r="L107" s="550"/>
      <c r="M107" s="185"/>
      <c r="N107" s="185"/>
    </row>
    <row r="108" spans="1:16" ht="103.5"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1898"/>
      <c r="B109" s="1899"/>
      <c r="C109" s="106">
        <v>2014</v>
      </c>
      <c r="D109" s="31"/>
      <c r="E109" s="174"/>
      <c r="F109" s="175"/>
      <c r="G109" s="175"/>
      <c r="H109" s="175"/>
      <c r="I109" s="175"/>
      <c r="J109" s="175"/>
      <c r="K109" s="175"/>
      <c r="L109" s="176"/>
      <c r="M109" s="185"/>
      <c r="N109" s="185"/>
    </row>
    <row r="110" spans="1:16">
      <c r="A110" s="1891"/>
      <c r="B110" s="1899"/>
      <c r="C110" s="110">
        <v>2015</v>
      </c>
      <c r="D110" s="38"/>
      <c r="E110" s="177"/>
      <c r="F110" s="178"/>
      <c r="G110" s="178"/>
      <c r="H110" s="178"/>
      <c r="I110" s="178"/>
      <c r="J110" s="178"/>
      <c r="K110" s="178"/>
      <c r="L110" s="179"/>
      <c r="M110" s="185"/>
      <c r="N110" s="185"/>
    </row>
    <row r="111" spans="1:16">
      <c r="A111" s="1891"/>
      <c r="B111" s="1899"/>
      <c r="C111" s="110">
        <v>2016</v>
      </c>
      <c r="D111" s="38"/>
      <c r="E111" s="177"/>
      <c r="F111" s="178"/>
      <c r="G111" s="178"/>
      <c r="H111" s="178"/>
      <c r="I111" s="178"/>
      <c r="J111" s="178"/>
      <c r="K111" s="178"/>
      <c r="L111" s="179"/>
      <c r="M111" s="185"/>
      <c r="N111" s="185"/>
    </row>
    <row r="112" spans="1:16">
      <c r="A112" s="1891"/>
      <c r="B112" s="1899"/>
      <c r="C112" s="110">
        <v>2017</v>
      </c>
      <c r="D112" s="38"/>
      <c r="E112" s="177"/>
      <c r="F112" s="178"/>
      <c r="G112" s="178"/>
      <c r="H112" s="178"/>
      <c r="I112" s="178"/>
      <c r="J112" s="178"/>
      <c r="K112" s="178"/>
      <c r="L112" s="179"/>
      <c r="M112" s="185"/>
      <c r="N112" s="185"/>
    </row>
    <row r="113" spans="1:14">
      <c r="A113" s="1891"/>
      <c r="B113" s="1899"/>
      <c r="C113" s="110">
        <v>2018</v>
      </c>
      <c r="D113" s="38"/>
      <c r="E113" s="177"/>
      <c r="F113" s="178"/>
      <c r="G113" s="178"/>
      <c r="H113" s="178"/>
      <c r="I113" s="178"/>
      <c r="J113" s="178"/>
      <c r="K113" s="178"/>
      <c r="L113" s="179"/>
      <c r="M113" s="185"/>
      <c r="N113" s="185"/>
    </row>
    <row r="114" spans="1:14">
      <c r="A114" s="1891"/>
      <c r="B114" s="1899"/>
      <c r="C114" s="110">
        <v>2019</v>
      </c>
      <c r="D114" s="38"/>
      <c r="E114" s="177"/>
      <c r="F114" s="178"/>
      <c r="G114" s="178"/>
      <c r="H114" s="178"/>
      <c r="I114" s="178"/>
      <c r="J114" s="178"/>
      <c r="K114" s="178"/>
      <c r="L114" s="179"/>
      <c r="M114" s="185"/>
      <c r="N114" s="185"/>
    </row>
    <row r="115" spans="1:14">
      <c r="A115" s="1891"/>
      <c r="B115" s="1899"/>
      <c r="C115" s="110">
        <v>2020</v>
      </c>
      <c r="D115" s="38"/>
      <c r="E115" s="177"/>
      <c r="F115" s="178"/>
      <c r="G115" s="178"/>
      <c r="H115" s="178"/>
      <c r="I115" s="178"/>
      <c r="J115" s="178"/>
      <c r="K115" s="178"/>
      <c r="L115" s="179"/>
      <c r="M115" s="185"/>
      <c r="N115" s="185"/>
    </row>
    <row r="116" spans="1:14" ht="25.5" customHeight="1" thickBot="1">
      <c r="A116" s="1915"/>
      <c r="B116" s="1900"/>
      <c r="C116" s="113" t="s">
        <v>13</v>
      </c>
      <c r="D116" s="116">
        <f t="shared" ref="D116:I116" si="9">SUM(D109:D115)</f>
        <v>0</v>
      </c>
      <c r="E116" s="180">
        <f t="shared" si="9"/>
        <v>0</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051" t="s">
        <v>81</v>
      </c>
      <c r="B118" s="2052" t="s">
        <v>179</v>
      </c>
      <c r="C118" s="2058" t="s">
        <v>9</v>
      </c>
      <c r="D118" s="1926" t="s">
        <v>82</v>
      </c>
      <c r="E118" s="162" t="s">
        <v>79</v>
      </c>
      <c r="F118" s="549"/>
      <c r="G118" s="549"/>
      <c r="H118" s="549"/>
      <c r="I118" s="549"/>
      <c r="J118" s="549"/>
      <c r="K118" s="549"/>
      <c r="L118" s="550"/>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1898"/>
      <c r="B120" s="1899"/>
      <c r="C120" s="106">
        <v>2014</v>
      </c>
      <c r="D120" s="31"/>
      <c r="E120" s="174"/>
      <c r="F120" s="175"/>
      <c r="G120" s="175"/>
      <c r="H120" s="175"/>
      <c r="I120" s="175"/>
      <c r="J120" s="175"/>
      <c r="K120" s="175"/>
      <c r="L120" s="176"/>
      <c r="M120" s="185"/>
      <c r="N120" s="185"/>
    </row>
    <row r="121" spans="1:14">
      <c r="A121" s="1891"/>
      <c r="B121" s="1899"/>
      <c r="C121" s="110">
        <v>2015</v>
      </c>
      <c r="D121" s="38"/>
      <c r="E121" s="177"/>
      <c r="F121" s="178"/>
      <c r="G121" s="178"/>
      <c r="H121" s="178"/>
      <c r="I121" s="178"/>
      <c r="J121" s="178"/>
      <c r="K121" s="178"/>
      <c r="L121" s="179"/>
      <c r="M121" s="185"/>
      <c r="N121" s="185"/>
    </row>
    <row r="122" spans="1:14">
      <c r="A122" s="1891"/>
      <c r="B122" s="1899"/>
      <c r="C122" s="110">
        <v>2016</v>
      </c>
      <c r="D122" s="38"/>
      <c r="E122" s="177"/>
      <c r="F122" s="178"/>
      <c r="G122" s="178"/>
      <c r="H122" s="178"/>
      <c r="I122" s="178"/>
      <c r="J122" s="178"/>
      <c r="K122" s="178"/>
      <c r="L122" s="179"/>
      <c r="M122" s="185"/>
      <c r="N122" s="185"/>
    </row>
    <row r="123" spans="1:14">
      <c r="A123" s="1891"/>
      <c r="B123" s="1899"/>
      <c r="C123" s="110">
        <v>2017</v>
      </c>
      <c r="D123" s="38"/>
      <c r="E123" s="177"/>
      <c r="F123" s="178"/>
      <c r="G123" s="178"/>
      <c r="H123" s="178"/>
      <c r="I123" s="178"/>
      <c r="J123" s="178"/>
      <c r="K123" s="178"/>
      <c r="L123" s="179"/>
      <c r="M123" s="185"/>
      <c r="N123" s="185"/>
    </row>
    <row r="124" spans="1:14">
      <c r="A124" s="1891"/>
      <c r="B124" s="1899"/>
      <c r="C124" s="110">
        <v>2018</v>
      </c>
      <c r="D124" s="38"/>
      <c r="E124" s="177"/>
      <c r="F124" s="178"/>
      <c r="G124" s="178"/>
      <c r="H124" s="178"/>
      <c r="I124" s="178"/>
      <c r="J124" s="178"/>
      <c r="K124" s="178"/>
      <c r="L124" s="179"/>
      <c r="M124" s="185"/>
      <c r="N124" s="185"/>
    </row>
    <row r="125" spans="1:14">
      <c r="A125" s="1891"/>
      <c r="B125" s="1899"/>
      <c r="C125" s="110">
        <v>2019</v>
      </c>
      <c r="D125" s="38"/>
      <c r="E125" s="177"/>
      <c r="F125" s="178"/>
      <c r="G125" s="178"/>
      <c r="H125" s="178"/>
      <c r="I125" s="178"/>
      <c r="J125" s="178"/>
      <c r="K125" s="178"/>
      <c r="L125" s="179"/>
      <c r="M125" s="185"/>
      <c r="N125" s="185"/>
    </row>
    <row r="126" spans="1:14">
      <c r="A126" s="1891"/>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051" t="s">
        <v>84</v>
      </c>
      <c r="B129" s="2052" t="s">
        <v>179</v>
      </c>
      <c r="C129" s="552" t="s">
        <v>9</v>
      </c>
      <c r="D129" s="189" t="s">
        <v>85</v>
      </c>
      <c r="E129" s="553"/>
      <c r="F129" s="553"/>
      <c r="G129" s="191"/>
      <c r="H129" s="185"/>
      <c r="I129" s="185"/>
      <c r="J129" s="185"/>
      <c r="K129" s="185"/>
      <c r="L129" s="185"/>
      <c r="M129" s="185"/>
      <c r="N129" s="185"/>
    </row>
    <row r="130" spans="1:16" ht="77.25" customHeight="1">
      <c r="A130" s="1910"/>
      <c r="B130" s="1912"/>
      <c r="C130" s="192"/>
      <c r="D130" s="166" t="s">
        <v>86</v>
      </c>
      <c r="E130" s="193" t="s">
        <v>87</v>
      </c>
      <c r="F130" s="167" t="s">
        <v>88</v>
      </c>
      <c r="G130" s="194" t="s">
        <v>13</v>
      </c>
      <c r="H130" s="185"/>
      <c r="I130" s="185"/>
      <c r="J130" s="185"/>
      <c r="K130" s="185"/>
      <c r="L130" s="185"/>
      <c r="M130" s="185"/>
      <c r="N130" s="185"/>
    </row>
    <row r="131" spans="1:16" ht="15" customHeight="1">
      <c r="A131" s="1874" t="s">
        <v>382</v>
      </c>
      <c r="B131" s="1855"/>
      <c r="C131" s="106">
        <v>2015</v>
      </c>
      <c r="D131" s="30">
        <v>12</v>
      </c>
      <c r="E131" s="31"/>
      <c r="F131" s="31"/>
      <c r="G131" s="195">
        <f t="shared" ref="G131:G136" si="11">SUM(D131:F131)</f>
        <v>12</v>
      </c>
      <c r="H131" s="185"/>
      <c r="I131" s="185"/>
      <c r="J131" s="185"/>
      <c r="K131" s="185"/>
      <c r="L131" s="185"/>
      <c r="M131" s="185"/>
      <c r="N131" s="185"/>
    </row>
    <row r="132" spans="1:16">
      <c r="A132" s="1854"/>
      <c r="B132" s="1855"/>
      <c r="C132" s="110">
        <v>2016</v>
      </c>
      <c r="D132" s="37">
        <v>52</v>
      </c>
      <c r="E132" s="38"/>
      <c r="F132" s="38"/>
      <c r="G132" s="195">
        <f t="shared" si="11"/>
        <v>52</v>
      </c>
      <c r="H132" s="185"/>
      <c r="I132" s="185"/>
      <c r="J132" s="185"/>
      <c r="K132" s="185"/>
      <c r="L132" s="185"/>
      <c r="M132" s="185"/>
      <c r="N132" s="185"/>
    </row>
    <row r="133" spans="1:16">
      <c r="A133" s="1854"/>
      <c r="B133" s="1855"/>
      <c r="C133" s="110">
        <v>2017</v>
      </c>
      <c r="D133" s="37">
        <v>44</v>
      </c>
      <c r="E133" s="38"/>
      <c r="F133" s="38"/>
      <c r="G133" s="195">
        <f t="shared" si="11"/>
        <v>44</v>
      </c>
      <c r="H133" s="185"/>
      <c r="I133" s="185"/>
      <c r="J133" s="185"/>
      <c r="K133" s="185"/>
      <c r="L133" s="185"/>
      <c r="M133" s="185"/>
      <c r="N133" s="185"/>
    </row>
    <row r="134" spans="1:16">
      <c r="A134" s="1854"/>
      <c r="B134" s="1855"/>
      <c r="C134" s="110">
        <v>2018</v>
      </c>
      <c r="D134" s="37"/>
      <c r="E134" s="38"/>
      <c r="F134" s="38"/>
      <c r="G134" s="195">
        <f t="shared" si="11"/>
        <v>0</v>
      </c>
      <c r="H134" s="185"/>
      <c r="I134" s="185"/>
      <c r="J134" s="185"/>
      <c r="K134" s="185"/>
      <c r="L134" s="185"/>
      <c r="M134" s="185"/>
      <c r="N134" s="185"/>
    </row>
    <row r="135" spans="1:16">
      <c r="A135" s="1854"/>
      <c r="B135" s="1855"/>
      <c r="C135" s="110">
        <v>2019</v>
      </c>
      <c r="D135" s="37"/>
      <c r="E135" s="38"/>
      <c r="F135" s="38"/>
      <c r="G135" s="195">
        <f t="shared" si="11"/>
        <v>0</v>
      </c>
      <c r="H135" s="185"/>
      <c r="I135" s="185"/>
      <c r="J135" s="185"/>
      <c r="K135" s="185"/>
      <c r="L135" s="185"/>
      <c r="M135" s="185"/>
      <c r="N135" s="185"/>
    </row>
    <row r="136" spans="1:16">
      <c r="A136" s="1854"/>
      <c r="B136" s="1855"/>
      <c r="C136" s="110">
        <v>2020</v>
      </c>
      <c r="D136" s="37"/>
      <c r="E136" s="38"/>
      <c r="F136" s="38"/>
      <c r="G136" s="195">
        <f t="shared" si="11"/>
        <v>0</v>
      </c>
      <c r="H136" s="185"/>
      <c r="I136" s="185"/>
      <c r="J136" s="185"/>
      <c r="K136" s="185"/>
      <c r="L136" s="185"/>
      <c r="M136" s="185"/>
      <c r="N136" s="185"/>
    </row>
    <row r="137" spans="1:16" ht="17.25" customHeight="1" thickBot="1">
      <c r="A137" s="1856"/>
      <c r="B137" s="1857"/>
      <c r="C137" s="113" t="s">
        <v>13</v>
      </c>
      <c r="D137" s="139">
        <f>SUM(D131:D136)</f>
        <v>108</v>
      </c>
      <c r="E137" s="139">
        <f t="shared" ref="E137:F137" si="12">SUM(E131:E136)</f>
        <v>0</v>
      </c>
      <c r="F137" s="139">
        <f t="shared" si="12"/>
        <v>0</v>
      </c>
      <c r="G137" s="196">
        <f>SUM(G131:G136)</f>
        <v>108</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050" t="s">
        <v>91</v>
      </c>
      <c r="B142" s="2048" t="s">
        <v>179</v>
      </c>
      <c r="C142" s="2043" t="s">
        <v>9</v>
      </c>
      <c r="D142" s="554" t="s">
        <v>92</v>
      </c>
      <c r="E142" s="555"/>
      <c r="F142" s="555"/>
      <c r="G142" s="555"/>
      <c r="H142" s="555"/>
      <c r="I142" s="556"/>
      <c r="J142" s="2044" t="s">
        <v>93</v>
      </c>
      <c r="K142" s="2045"/>
      <c r="L142" s="2045"/>
      <c r="M142" s="2045"/>
      <c r="N142" s="2046"/>
      <c r="O142" s="165"/>
      <c r="P142" s="165"/>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c r="B144" s="1899"/>
      <c r="C144" s="106">
        <v>2014</v>
      </c>
      <c r="D144" s="30"/>
      <c r="E144" s="30"/>
      <c r="F144" s="31"/>
      <c r="G144" s="175"/>
      <c r="H144" s="175"/>
      <c r="I144" s="213">
        <f>D144+F144+G144+H144</f>
        <v>0</v>
      </c>
      <c r="J144" s="214"/>
      <c r="K144" s="215"/>
      <c r="L144" s="214"/>
      <c r="M144" s="215"/>
      <c r="N144" s="216"/>
      <c r="O144" s="165"/>
      <c r="P144" s="165"/>
    </row>
    <row r="145" spans="1:16" ht="19.5" customHeight="1">
      <c r="A145" s="1891"/>
      <c r="B145" s="1899"/>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1891"/>
      <c r="B146" s="1899"/>
      <c r="C146" s="110">
        <v>2016</v>
      </c>
      <c r="D146" s="37"/>
      <c r="E146" s="37"/>
      <c r="F146" s="38"/>
      <c r="G146" s="178"/>
      <c r="H146" s="178"/>
      <c r="I146" s="213">
        <f t="shared" si="13"/>
        <v>0</v>
      </c>
      <c r="J146" s="217"/>
      <c r="K146" s="218"/>
      <c r="L146" s="217"/>
      <c r="M146" s="218"/>
      <c r="N146" s="219"/>
      <c r="O146" s="165"/>
      <c r="P146" s="165"/>
    </row>
    <row r="147" spans="1:16" ht="17.25" customHeight="1">
      <c r="A147" s="1891"/>
      <c r="B147" s="1899"/>
      <c r="C147" s="110">
        <v>2017</v>
      </c>
      <c r="D147" s="37"/>
      <c r="E147" s="37"/>
      <c r="F147" s="38"/>
      <c r="G147" s="178"/>
      <c r="H147" s="178"/>
      <c r="I147" s="213">
        <f t="shared" si="13"/>
        <v>0</v>
      </c>
      <c r="J147" s="217"/>
      <c r="K147" s="218"/>
      <c r="L147" s="217"/>
      <c r="M147" s="218"/>
      <c r="N147" s="219"/>
      <c r="O147" s="165"/>
      <c r="P147" s="165"/>
    </row>
    <row r="148" spans="1:16" ht="19.5" customHeight="1">
      <c r="A148" s="1891"/>
      <c r="B148" s="1899"/>
      <c r="C148" s="110">
        <v>2018</v>
      </c>
      <c r="D148" s="37"/>
      <c r="E148" s="37"/>
      <c r="F148" s="38"/>
      <c r="G148" s="178"/>
      <c r="H148" s="178"/>
      <c r="I148" s="213">
        <f t="shared" si="13"/>
        <v>0</v>
      </c>
      <c r="J148" s="217"/>
      <c r="K148" s="218"/>
      <c r="L148" s="217"/>
      <c r="M148" s="218"/>
      <c r="N148" s="219"/>
      <c r="O148" s="165"/>
      <c r="P148" s="165"/>
    </row>
    <row r="149" spans="1:16" ht="19.5" customHeight="1">
      <c r="A149" s="1891"/>
      <c r="B149" s="1899"/>
      <c r="C149" s="110">
        <v>2019</v>
      </c>
      <c r="D149" s="37"/>
      <c r="E149" s="37"/>
      <c r="F149" s="38"/>
      <c r="G149" s="178"/>
      <c r="H149" s="178"/>
      <c r="I149" s="213">
        <f t="shared" si="13"/>
        <v>0</v>
      </c>
      <c r="J149" s="217"/>
      <c r="K149" s="218"/>
      <c r="L149" s="217"/>
      <c r="M149" s="218"/>
      <c r="N149" s="219"/>
      <c r="O149" s="165"/>
      <c r="P149" s="165"/>
    </row>
    <row r="150" spans="1:16" ht="18.75" customHeight="1">
      <c r="A150" s="1891"/>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2047" t="s">
        <v>105</v>
      </c>
      <c r="B153" s="2048" t="s">
        <v>179</v>
      </c>
      <c r="C153" s="2049" t="s">
        <v>9</v>
      </c>
      <c r="D153" s="557" t="s">
        <v>106</v>
      </c>
      <c r="E153" s="557"/>
      <c r="F153" s="558"/>
      <c r="G153" s="558"/>
      <c r="H153" s="557" t="s">
        <v>107</v>
      </c>
      <c r="I153" s="557"/>
      <c r="J153" s="559"/>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1898"/>
      <c r="B155" s="1899"/>
      <c r="C155" s="233">
        <v>2014</v>
      </c>
      <c r="D155" s="214"/>
      <c r="E155" s="175"/>
      <c r="F155" s="215"/>
      <c r="G155" s="213">
        <f>SUM(D155:F155)</f>
        <v>0</v>
      </c>
      <c r="H155" s="214"/>
      <c r="I155" s="175"/>
      <c r="J155" s="176"/>
      <c r="O155" s="165"/>
      <c r="P155" s="165"/>
    </row>
    <row r="156" spans="1:16" ht="19.5" customHeight="1">
      <c r="A156" s="1891"/>
      <c r="B156" s="1899"/>
      <c r="C156" s="234">
        <v>2015</v>
      </c>
      <c r="D156" s="217"/>
      <c r="E156" s="178"/>
      <c r="F156" s="218"/>
      <c r="G156" s="213">
        <f t="shared" ref="G156:G161" si="15">SUM(D156:F156)</f>
        <v>0</v>
      </c>
      <c r="H156" s="217"/>
      <c r="I156" s="178"/>
      <c r="J156" s="179"/>
      <c r="O156" s="165"/>
      <c r="P156" s="165"/>
    </row>
    <row r="157" spans="1:16" ht="17.25" customHeight="1">
      <c r="A157" s="1891"/>
      <c r="B157" s="1899"/>
      <c r="C157" s="234">
        <v>2016</v>
      </c>
      <c r="D157" s="217"/>
      <c r="E157" s="178"/>
      <c r="F157" s="218"/>
      <c r="G157" s="213">
        <f t="shared" si="15"/>
        <v>0</v>
      </c>
      <c r="H157" s="217"/>
      <c r="I157" s="178"/>
      <c r="J157" s="179"/>
      <c r="O157" s="165"/>
      <c r="P157" s="165"/>
    </row>
    <row r="158" spans="1:16" ht="15" customHeight="1">
      <c r="A158" s="1891"/>
      <c r="B158" s="1899"/>
      <c r="C158" s="234">
        <v>2017</v>
      </c>
      <c r="D158" s="217"/>
      <c r="E158" s="178"/>
      <c r="F158" s="218"/>
      <c r="G158" s="213">
        <f t="shared" si="15"/>
        <v>0</v>
      </c>
      <c r="H158" s="217"/>
      <c r="I158" s="178"/>
      <c r="J158" s="179"/>
      <c r="O158" s="165"/>
      <c r="P158" s="165"/>
    </row>
    <row r="159" spans="1:16" ht="19.5" customHeight="1">
      <c r="A159" s="1891"/>
      <c r="B159" s="1899"/>
      <c r="C159" s="234">
        <v>2018</v>
      </c>
      <c r="D159" s="217"/>
      <c r="E159" s="178"/>
      <c r="F159" s="218"/>
      <c r="G159" s="213">
        <f t="shared" si="15"/>
        <v>0</v>
      </c>
      <c r="H159" s="217"/>
      <c r="I159" s="178"/>
      <c r="J159" s="179"/>
      <c r="O159" s="165"/>
      <c r="P159" s="165"/>
    </row>
    <row r="160" spans="1:16" ht="15" customHeight="1">
      <c r="A160" s="1891"/>
      <c r="B160" s="1899"/>
      <c r="C160" s="234">
        <v>2019</v>
      </c>
      <c r="D160" s="217"/>
      <c r="E160" s="178"/>
      <c r="F160" s="218"/>
      <c r="G160" s="213">
        <f t="shared" si="15"/>
        <v>0</v>
      </c>
      <c r="H160" s="217"/>
      <c r="I160" s="178"/>
      <c r="J160" s="179"/>
      <c r="O160" s="165"/>
      <c r="P160" s="165"/>
    </row>
    <row r="161" spans="1:18" ht="17.25" customHeight="1">
      <c r="A161" s="1891"/>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560"/>
      <c r="F163" s="165"/>
      <c r="G163" s="165"/>
      <c r="H163" s="165"/>
      <c r="I163" s="165"/>
      <c r="J163" s="241"/>
      <c r="K163" s="242"/>
    </row>
    <row r="164" spans="1:18" ht="95.25" customHeight="1">
      <c r="A164" s="243" t="s">
        <v>115</v>
      </c>
      <c r="B164" s="405" t="s">
        <v>181</v>
      </c>
      <c r="C164" s="245" t="s">
        <v>9</v>
      </c>
      <c r="D164" s="246" t="s">
        <v>117</v>
      </c>
      <c r="E164" s="246" t="s">
        <v>118</v>
      </c>
      <c r="F164" s="561" t="s">
        <v>119</v>
      </c>
      <c r="G164" s="246" t="s">
        <v>120</v>
      </c>
      <c r="H164" s="246" t="s">
        <v>121</v>
      </c>
      <c r="I164" s="248" t="s">
        <v>122</v>
      </c>
      <c r="J164" s="249" t="s">
        <v>123</v>
      </c>
      <c r="K164" s="249" t="s">
        <v>124</v>
      </c>
      <c r="L164" s="406"/>
    </row>
    <row r="165" spans="1:18" ht="15.75" customHeight="1">
      <c r="A165" s="1878"/>
      <c r="B165" s="1879"/>
      <c r="C165" s="251">
        <v>2014</v>
      </c>
      <c r="D165" s="175"/>
      <c r="E165" s="175"/>
      <c r="F165" s="175"/>
      <c r="G165" s="175"/>
      <c r="H165" s="175"/>
      <c r="I165" s="176"/>
      <c r="J165" s="252">
        <f>SUM(D165,F165,H165)</f>
        <v>0</v>
      </c>
      <c r="K165" s="253">
        <f>SUM(E165,G165,I165)</f>
        <v>0</v>
      </c>
      <c r="L165" s="406"/>
    </row>
    <row r="166" spans="1:18">
      <c r="A166" s="1880"/>
      <c r="B166" s="1881"/>
      <c r="C166" s="254">
        <v>2015</v>
      </c>
      <c r="D166" s="255"/>
      <c r="E166" s="255"/>
      <c r="F166" s="255"/>
      <c r="G166" s="255"/>
      <c r="H166" s="255"/>
      <c r="I166" s="256"/>
      <c r="J166" s="407">
        <f t="shared" ref="J166:K171" si="17">SUM(D166,F166,H166)</f>
        <v>0</v>
      </c>
      <c r="K166" s="408">
        <f t="shared" si="17"/>
        <v>0</v>
      </c>
      <c r="L166" s="406"/>
    </row>
    <row r="167" spans="1:18">
      <c r="A167" s="1880"/>
      <c r="B167" s="1881"/>
      <c r="C167" s="254">
        <v>2016</v>
      </c>
      <c r="D167" s="255"/>
      <c r="E167" s="255"/>
      <c r="F167" s="255"/>
      <c r="G167" s="255"/>
      <c r="H167" s="255"/>
      <c r="I167" s="256"/>
      <c r="J167" s="407">
        <f t="shared" si="17"/>
        <v>0</v>
      </c>
      <c r="K167" s="408">
        <f t="shared" si="17"/>
        <v>0</v>
      </c>
    </row>
    <row r="168" spans="1:18">
      <c r="A168" s="1880"/>
      <c r="B168" s="1881"/>
      <c r="C168" s="254">
        <v>2017</v>
      </c>
      <c r="D168" s="255"/>
      <c r="E168" s="165"/>
      <c r="F168" s="255"/>
      <c r="G168" s="255"/>
      <c r="H168" s="255"/>
      <c r="I168" s="256"/>
      <c r="J168" s="407">
        <f t="shared" si="17"/>
        <v>0</v>
      </c>
      <c r="K168" s="408">
        <f t="shared" si="17"/>
        <v>0</v>
      </c>
    </row>
    <row r="169" spans="1:18">
      <c r="A169" s="1880"/>
      <c r="B169" s="1881"/>
      <c r="C169" s="262">
        <v>2018</v>
      </c>
      <c r="D169" s="255"/>
      <c r="E169" s="255"/>
      <c r="F169" s="255"/>
      <c r="G169" s="263"/>
      <c r="H169" s="255"/>
      <c r="I169" s="256"/>
      <c r="J169" s="407">
        <f t="shared" si="17"/>
        <v>0</v>
      </c>
      <c r="K169" s="408">
        <f t="shared" si="17"/>
        <v>0</v>
      </c>
      <c r="L169" s="406"/>
    </row>
    <row r="170" spans="1:18">
      <c r="A170" s="1880"/>
      <c r="B170" s="1881"/>
      <c r="C170" s="254">
        <v>2019</v>
      </c>
      <c r="D170" s="165"/>
      <c r="E170" s="255"/>
      <c r="F170" s="255"/>
      <c r="G170" s="255"/>
      <c r="H170" s="263"/>
      <c r="I170" s="256"/>
      <c r="J170" s="407">
        <f t="shared" si="17"/>
        <v>0</v>
      </c>
      <c r="K170" s="408">
        <f t="shared" si="17"/>
        <v>0</v>
      </c>
      <c r="L170" s="406"/>
    </row>
    <row r="171" spans="1:18">
      <c r="A171" s="1880"/>
      <c r="B171" s="1881"/>
      <c r="C171" s="262">
        <v>2020</v>
      </c>
      <c r="D171" s="255"/>
      <c r="E171" s="255"/>
      <c r="F171" s="255"/>
      <c r="G171" s="255"/>
      <c r="H171" s="255"/>
      <c r="I171" s="256"/>
      <c r="J171" s="407">
        <f t="shared" si="17"/>
        <v>0</v>
      </c>
      <c r="K171" s="408">
        <f t="shared" si="17"/>
        <v>0</v>
      </c>
      <c r="L171" s="406"/>
    </row>
    <row r="172" spans="1:18" ht="41.25" customHeight="1" thickBot="1">
      <c r="A172" s="1882"/>
      <c r="B172" s="1883"/>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406"/>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039" t="s">
        <v>127</v>
      </c>
      <c r="B176" s="2037" t="s">
        <v>182</v>
      </c>
      <c r="C176" s="2040" t="s">
        <v>9</v>
      </c>
      <c r="D176" s="273" t="s">
        <v>128</v>
      </c>
      <c r="E176" s="562"/>
      <c r="F176" s="562"/>
      <c r="G176" s="563"/>
      <c r="H176" s="276"/>
      <c r="I176" s="1888" t="s">
        <v>129</v>
      </c>
      <c r="J176" s="2041"/>
      <c r="K176" s="2041"/>
      <c r="L176" s="2041"/>
      <c r="M176" s="2041"/>
      <c r="N176" s="2041"/>
      <c r="O176" s="2042"/>
    </row>
    <row r="177" spans="1:15" s="56" customFormat="1" ht="129.7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1898" t="s">
        <v>383</v>
      </c>
      <c r="B178" s="1899"/>
      <c r="C178" s="106">
        <v>2014</v>
      </c>
      <c r="D178" s="30"/>
      <c r="E178" s="31"/>
      <c r="F178" s="31"/>
      <c r="G178" s="284">
        <f>SUM(D178:F178)</f>
        <v>0</v>
      </c>
      <c r="H178" s="155"/>
      <c r="I178" s="155"/>
      <c r="J178" s="31"/>
      <c r="K178" s="31"/>
      <c r="L178" s="31"/>
      <c r="M178" s="31"/>
      <c r="N178" s="31"/>
      <c r="O178" s="34"/>
    </row>
    <row r="179" spans="1:15">
      <c r="A179" s="1891"/>
      <c r="B179" s="1899"/>
      <c r="C179" s="110">
        <v>2015</v>
      </c>
      <c r="D179" s="37">
        <v>2</v>
      </c>
      <c r="E179" s="38"/>
      <c r="F179" s="38"/>
      <c r="G179" s="284">
        <f t="shared" ref="G179:G184" si="19">SUM(D179:F179)</f>
        <v>2</v>
      </c>
      <c r="H179" s="411">
        <v>3</v>
      </c>
      <c r="I179" s="112"/>
      <c r="J179" s="38"/>
      <c r="K179" s="38"/>
      <c r="L179" s="38"/>
      <c r="M179" s="38"/>
      <c r="N179" s="38"/>
      <c r="O179" s="88">
        <v>2</v>
      </c>
    </row>
    <row r="180" spans="1:15">
      <c r="A180" s="1891"/>
      <c r="B180" s="1899"/>
      <c r="C180" s="110">
        <v>2016</v>
      </c>
      <c r="D180" s="37">
        <v>14</v>
      </c>
      <c r="E180" s="38">
        <v>1</v>
      </c>
      <c r="F180" s="38"/>
      <c r="G180" s="284">
        <f t="shared" si="19"/>
        <v>15</v>
      </c>
      <c r="H180" s="411">
        <v>79</v>
      </c>
      <c r="I180" s="112"/>
      <c r="J180" s="38">
        <v>1</v>
      </c>
      <c r="K180" s="38">
        <v>2</v>
      </c>
      <c r="L180" s="38">
        <v>2</v>
      </c>
      <c r="M180" s="38">
        <v>1</v>
      </c>
      <c r="N180" s="38"/>
      <c r="O180" s="88">
        <v>9</v>
      </c>
    </row>
    <row r="181" spans="1:15">
      <c r="A181" s="1891"/>
      <c r="B181" s="1899"/>
      <c r="C181" s="110">
        <v>2017</v>
      </c>
      <c r="D181" s="37">
        <v>2</v>
      </c>
      <c r="E181" s="38"/>
      <c r="F181" s="38"/>
      <c r="G181" s="284">
        <f t="shared" si="19"/>
        <v>2</v>
      </c>
      <c r="H181" s="411">
        <v>3</v>
      </c>
      <c r="I181" s="112"/>
      <c r="J181" s="38"/>
      <c r="K181" s="38"/>
      <c r="L181" s="38"/>
      <c r="M181" s="38">
        <v>1</v>
      </c>
      <c r="N181" s="38"/>
      <c r="O181" s="88">
        <v>1</v>
      </c>
    </row>
    <row r="182" spans="1:15">
      <c r="A182" s="1891"/>
      <c r="B182" s="1899"/>
      <c r="C182" s="110">
        <v>2018</v>
      </c>
      <c r="D182" s="37"/>
      <c r="E182" s="38"/>
      <c r="F182" s="38"/>
      <c r="G182" s="284">
        <f t="shared" si="19"/>
        <v>0</v>
      </c>
      <c r="H182" s="411"/>
      <c r="I182" s="112"/>
      <c r="J182" s="38"/>
      <c r="K182" s="38"/>
      <c r="L182" s="38"/>
      <c r="M182" s="38"/>
      <c r="N182" s="38"/>
      <c r="O182" s="88"/>
    </row>
    <row r="183" spans="1:15">
      <c r="A183" s="1891"/>
      <c r="B183" s="1899"/>
      <c r="C183" s="110">
        <v>2019</v>
      </c>
      <c r="D183" s="37"/>
      <c r="E183" s="38"/>
      <c r="F183" s="38"/>
      <c r="G183" s="284">
        <f t="shared" si="19"/>
        <v>0</v>
      </c>
      <c r="H183" s="411"/>
      <c r="I183" s="112"/>
      <c r="J183" s="38"/>
      <c r="K183" s="38"/>
      <c r="L183" s="38"/>
      <c r="M183" s="38"/>
      <c r="N183" s="38"/>
      <c r="O183" s="88"/>
    </row>
    <row r="184" spans="1:15">
      <c r="A184" s="1891"/>
      <c r="B184" s="1899"/>
      <c r="C184" s="110">
        <v>2020</v>
      </c>
      <c r="D184" s="37"/>
      <c r="E184" s="38"/>
      <c r="F184" s="38"/>
      <c r="G184" s="284">
        <f t="shared" si="19"/>
        <v>0</v>
      </c>
      <c r="H184" s="411"/>
      <c r="I184" s="112"/>
      <c r="J184" s="38"/>
      <c r="K184" s="38"/>
      <c r="L184" s="38"/>
      <c r="M184" s="38"/>
      <c r="N184" s="38"/>
      <c r="O184" s="88"/>
    </row>
    <row r="185" spans="1:15" ht="69.75" customHeight="1" thickBot="1">
      <c r="A185" s="1893"/>
      <c r="B185" s="1900"/>
      <c r="C185" s="113" t="s">
        <v>13</v>
      </c>
      <c r="D185" s="139">
        <f>SUM(D178:D184)</f>
        <v>18</v>
      </c>
      <c r="E185" s="116">
        <f>SUM(E178:E184)</f>
        <v>1</v>
      </c>
      <c r="F185" s="116">
        <f>SUM(F178:F184)</f>
        <v>0</v>
      </c>
      <c r="G185" s="220">
        <f t="shared" ref="G185:O185" si="20">SUM(G178:G184)</f>
        <v>19</v>
      </c>
      <c r="H185" s="285">
        <f t="shared" si="20"/>
        <v>85</v>
      </c>
      <c r="I185" s="115">
        <f t="shared" si="20"/>
        <v>0</v>
      </c>
      <c r="J185" s="116">
        <f t="shared" si="20"/>
        <v>1</v>
      </c>
      <c r="K185" s="116">
        <f t="shared" si="20"/>
        <v>2</v>
      </c>
      <c r="L185" s="116">
        <f t="shared" si="20"/>
        <v>2</v>
      </c>
      <c r="M185" s="116">
        <f t="shared" si="20"/>
        <v>2</v>
      </c>
      <c r="N185" s="116">
        <f t="shared" si="20"/>
        <v>0</v>
      </c>
      <c r="O185" s="117">
        <f t="shared" si="20"/>
        <v>12</v>
      </c>
    </row>
    <row r="186" spans="1:15" ht="33" customHeight="1" thickBot="1"/>
    <row r="187" spans="1:15" ht="19.5" customHeight="1">
      <c r="A187" s="1861" t="s">
        <v>137</v>
      </c>
      <c r="B187" s="2037" t="s">
        <v>182</v>
      </c>
      <c r="C187" s="1865" t="s">
        <v>9</v>
      </c>
      <c r="D187" s="1867" t="s">
        <v>138</v>
      </c>
      <c r="E187" s="2038"/>
      <c r="F187" s="2038"/>
      <c r="G187" s="1869"/>
      <c r="H187" s="1870"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1976" t="s">
        <v>384</v>
      </c>
      <c r="B189" s="1977"/>
      <c r="C189" s="290">
        <v>2014</v>
      </c>
      <c r="D189" s="133"/>
      <c r="E189" s="109"/>
      <c r="F189" s="109"/>
      <c r="G189" s="291">
        <f>SUM(D189:F189)</f>
        <v>0</v>
      </c>
      <c r="H189" s="108"/>
      <c r="I189" s="109"/>
      <c r="J189" s="109"/>
      <c r="K189" s="109"/>
      <c r="L189" s="134"/>
    </row>
    <row r="190" spans="1:15">
      <c r="A190" s="1978"/>
      <c r="B190" s="1855"/>
      <c r="C190" s="73">
        <v>2015</v>
      </c>
      <c r="D190" s="37">
        <v>218</v>
      </c>
      <c r="E190" s="38"/>
      <c r="F190" s="38"/>
      <c r="G190" s="291">
        <f t="shared" ref="G190:G195" si="21">SUM(D190:F190)</f>
        <v>218</v>
      </c>
      <c r="H190" s="112"/>
      <c r="I190" s="38">
        <v>63</v>
      </c>
      <c r="J190" s="38"/>
      <c r="K190" s="38"/>
      <c r="L190" s="88">
        <v>155</v>
      </c>
    </row>
    <row r="191" spans="1:15">
      <c r="A191" s="1978"/>
      <c r="B191" s="1855"/>
      <c r="C191" s="73">
        <v>2016</v>
      </c>
      <c r="D191" s="37">
        <v>943</v>
      </c>
      <c r="E191" s="38">
        <v>50</v>
      </c>
      <c r="F191" s="38"/>
      <c r="G191" s="291">
        <f t="shared" si="21"/>
        <v>993</v>
      </c>
      <c r="H191" s="112"/>
      <c r="I191" s="38">
        <v>117</v>
      </c>
      <c r="J191" s="38"/>
      <c r="K191" s="38">
        <v>327</v>
      </c>
      <c r="L191" s="88">
        <v>549</v>
      </c>
    </row>
    <row r="192" spans="1:15">
      <c r="A192" s="1978"/>
      <c r="B192" s="1855"/>
      <c r="C192" s="73">
        <v>2017</v>
      </c>
      <c r="D192" s="37">
        <v>100</v>
      </c>
      <c r="E192" s="38"/>
      <c r="F192" s="38"/>
      <c r="G192" s="291">
        <f t="shared" si="21"/>
        <v>100</v>
      </c>
      <c r="H192" s="112"/>
      <c r="I192" s="38">
        <v>35</v>
      </c>
      <c r="J192" s="38"/>
      <c r="K192" s="38">
        <v>32</v>
      </c>
      <c r="L192" s="88">
        <v>33</v>
      </c>
    </row>
    <row r="193" spans="1:14">
      <c r="A193" s="1978"/>
      <c r="B193" s="1855"/>
      <c r="C193" s="73">
        <v>2018</v>
      </c>
      <c r="D193" s="37"/>
      <c r="E193" s="38"/>
      <c r="F193" s="38"/>
      <c r="G193" s="291">
        <f t="shared" si="21"/>
        <v>0</v>
      </c>
      <c r="H193" s="112"/>
      <c r="I193" s="38"/>
      <c r="J193" s="38"/>
      <c r="K193" s="38"/>
      <c r="L193" s="88"/>
    </row>
    <row r="194" spans="1:14">
      <c r="A194" s="1978"/>
      <c r="B194" s="1855"/>
      <c r="C194" s="73">
        <v>2019</v>
      </c>
      <c r="D194" s="37"/>
      <c r="E194" s="38"/>
      <c r="F194" s="38"/>
      <c r="G194" s="291">
        <f t="shared" si="21"/>
        <v>0</v>
      </c>
      <c r="H194" s="112"/>
      <c r="I194" s="38"/>
      <c r="J194" s="38"/>
      <c r="K194" s="38"/>
      <c r="L194" s="88"/>
    </row>
    <row r="195" spans="1:14">
      <c r="A195" s="1978"/>
      <c r="B195" s="1855"/>
      <c r="C195" s="73">
        <v>2020</v>
      </c>
      <c r="D195" s="37"/>
      <c r="E195" s="38"/>
      <c r="F195" s="38"/>
      <c r="G195" s="291">
        <f t="shared" si="21"/>
        <v>0</v>
      </c>
      <c r="H195" s="112"/>
      <c r="I195" s="38"/>
      <c r="J195" s="38"/>
      <c r="K195" s="38"/>
      <c r="L195" s="88"/>
    </row>
    <row r="196" spans="1:14" ht="93.75" customHeight="1" thickBot="1">
      <c r="A196" s="1979"/>
      <c r="B196" s="1857"/>
      <c r="C196" s="136" t="s">
        <v>13</v>
      </c>
      <c r="D196" s="139">
        <f t="shared" ref="D196:L196" si="22">SUM(D189:D195)</f>
        <v>1261</v>
      </c>
      <c r="E196" s="116">
        <f t="shared" si="22"/>
        <v>50</v>
      </c>
      <c r="F196" s="116">
        <f t="shared" si="22"/>
        <v>0</v>
      </c>
      <c r="G196" s="292">
        <f t="shared" si="22"/>
        <v>1311</v>
      </c>
      <c r="H196" s="115">
        <f t="shared" si="22"/>
        <v>0</v>
      </c>
      <c r="I196" s="116">
        <f t="shared" si="22"/>
        <v>215</v>
      </c>
      <c r="J196" s="116">
        <f t="shared" si="22"/>
        <v>0</v>
      </c>
      <c r="K196" s="116">
        <f t="shared" si="22"/>
        <v>359</v>
      </c>
      <c r="L196" s="117">
        <f t="shared" si="22"/>
        <v>737</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569" t="s">
        <v>150</v>
      </c>
      <c r="B201" s="417" t="s">
        <v>182</v>
      </c>
      <c r="C201" s="298" t="s">
        <v>9</v>
      </c>
      <c r="D201" s="299" t="s">
        <v>151</v>
      </c>
      <c r="E201" s="300" t="s">
        <v>152</v>
      </c>
      <c r="F201" s="300" t="s">
        <v>153</v>
      </c>
      <c r="G201" s="298" t="s">
        <v>154</v>
      </c>
      <c r="H201" s="570" t="s">
        <v>155</v>
      </c>
      <c r="I201" s="302" t="s">
        <v>156</v>
      </c>
      <c r="J201" s="303" t="s">
        <v>157</v>
      </c>
      <c r="K201" s="300" t="s">
        <v>158</v>
      </c>
      <c r="L201" s="304" t="s">
        <v>159</v>
      </c>
    </row>
    <row r="202" spans="1:14" ht="15" customHeight="1">
      <c r="A202" s="1854"/>
      <c r="B202" s="1855"/>
      <c r="C202" s="72">
        <v>2014</v>
      </c>
      <c r="D202" s="30"/>
      <c r="E202" s="31"/>
      <c r="F202" s="31"/>
      <c r="G202" s="29"/>
      <c r="H202" s="305"/>
      <c r="I202" s="306"/>
      <c r="J202" s="307"/>
      <c r="K202" s="31"/>
      <c r="L202" s="34"/>
    </row>
    <row r="203" spans="1:14">
      <c r="A203" s="1854"/>
      <c r="B203" s="1855"/>
      <c r="C203" s="73">
        <v>2015</v>
      </c>
      <c r="D203" s="37"/>
      <c r="E203" s="38"/>
      <c r="F203" s="38"/>
      <c r="G203" s="36"/>
      <c r="H203" s="308"/>
      <c r="I203" s="309"/>
      <c r="J203" s="310"/>
      <c r="K203" s="38"/>
      <c r="L203" s="88"/>
    </row>
    <row r="204" spans="1:14">
      <c r="A204" s="1854"/>
      <c r="B204" s="1855"/>
      <c r="C204" s="73">
        <v>2016</v>
      </c>
      <c r="D204" s="37"/>
      <c r="E204" s="38"/>
      <c r="F204" s="38"/>
      <c r="G204" s="36"/>
      <c r="H204" s="308"/>
      <c r="I204" s="309"/>
      <c r="J204" s="310"/>
      <c r="K204" s="38"/>
      <c r="L204" s="88"/>
    </row>
    <row r="205" spans="1:14">
      <c r="A205" s="1854"/>
      <c r="B205" s="1855"/>
      <c r="C205" s="73">
        <v>2017</v>
      </c>
      <c r="D205" s="37"/>
      <c r="E205" s="38"/>
      <c r="F205" s="38"/>
      <c r="G205" s="36"/>
      <c r="H205" s="308"/>
      <c r="I205" s="309"/>
      <c r="J205" s="310"/>
      <c r="K205" s="38"/>
      <c r="L205" s="88"/>
    </row>
    <row r="206" spans="1:14">
      <c r="A206" s="1854"/>
      <c r="B206" s="1855"/>
      <c r="C206" s="73">
        <v>2018</v>
      </c>
      <c r="D206" s="37"/>
      <c r="E206" s="38"/>
      <c r="F206" s="38"/>
      <c r="G206" s="36"/>
      <c r="H206" s="308"/>
      <c r="I206" s="309"/>
      <c r="J206" s="310"/>
      <c r="K206" s="38"/>
      <c r="L206" s="88"/>
    </row>
    <row r="207" spans="1:14">
      <c r="A207" s="1854"/>
      <c r="B207" s="1855"/>
      <c r="C207" s="73">
        <v>2019</v>
      </c>
      <c r="D207" s="37"/>
      <c r="E207" s="38"/>
      <c r="F207" s="38"/>
      <c r="G207" s="36"/>
      <c r="H207" s="308"/>
      <c r="I207" s="309"/>
      <c r="J207" s="310"/>
      <c r="K207" s="38"/>
      <c r="L207" s="88"/>
    </row>
    <row r="208" spans="1:14">
      <c r="A208" s="1854"/>
      <c r="B208" s="1855"/>
      <c r="C208" s="73">
        <v>2020</v>
      </c>
      <c r="D208" s="311"/>
      <c r="E208" s="312"/>
      <c r="F208" s="312"/>
      <c r="G208" s="313"/>
      <c r="H208" s="314"/>
      <c r="I208" s="315"/>
      <c r="J208" s="316"/>
      <c r="K208" s="312"/>
      <c r="L208" s="317"/>
    </row>
    <row r="209" spans="1:12" ht="20.25" customHeight="1" thickBot="1">
      <c r="A209" s="1856"/>
      <c r="B209" s="1857"/>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0</v>
      </c>
      <c r="K209" s="139">
        <f t="shared" si="23"/>
        <v>0</v>
      </c>
      <c r="L209" s="139">
        <f t="shared" si="23"/>
        <v>0</v>
      </c>
    </row>
    <row r="211" spans="1:12" ht="15.75" thickBot="1"/>
    <row r="212" spans="1:12" ht="29.25">
      <c r="A212" s="571" t="s">
        <v>161</v>
      </c>
      <c r="B212" s="322" t="s">
        <v>162</v>
      </c>
      <c r="C212" s="323">
        <v>2014</v>
      </c>
      <c r="D212" s="324">
        <v>2015</v>
      </c>
      <c r="E212" s="324">
        <v>2016</v>
      </c>
      <c r="F212" s="324">
        <v>2017</v>
      </c>
      <c r="G212" s="324">
        <v>2018</v>
      </c>
      <c r="H212" s="324">
        <v>2019</v>
      </c>
      <c r="I212" s="325">
        <v>2020</v>
      </c>
    </row>
    <row r="213" spans="1:12" ht="15" customHeight="1">
      <c r="A213" t="s">
        <v>163</v>
      </c>
      <c r="B213" s="1973" t="s">
        <v>385</v>
      </c>
      <c r="C213" s="72"/>
      <c r="D213" s="328">
        <f>SUM(D214:D217)</f>
        <v>351318.84</v>
      </c>
      <c r="E213" s="328">
        <f>E214+E215+E216+E217</f>
        <v>969960.74</v>
      </c>
      <c r="F213" s="328">
        <f>F214+F216</f>
        <v>280604.2</v>
      </c>
      <c r="G213" s="135"/>
      <c r="H213" s="135"/>
      <c r="I213" s="326"/>
    </row>
    <row r="214" spans="1:12">
      <c r="A214" t="s">
        <v>164</v>
      </c>
      <c r="B214" s="1974"/>
      <c r="C214" s="72"/>
      <c r="D214" s="328">
        <v>304534.56</v>
      </c>
      <c r="E214" s="328">
        <v>964690.94</v>
      </c>
      <c r="F214" s="328">
        <v>160216.41</v>
      </c>
      <c r="G214" s="135"/>
      <c r="H214" s="135"/>
      <c r="I214" s="326"/>
    </row>
    <row r="215" spans="1:12">
      <c r="A215" t="s">
        <v>165</v>
      </c>
      <c r="B215" s="1974"/>
      <c r="C215" s="72"/>
      <c r="D215" s="328">
        <v>23699.64</v>
      </c>
      <c r="E215" s="328"/>
      <c r="F215" s="328"/>
      <c r="G215" s="135"/>
      <c r="H215" s="135"/>
      <c r="I215" s="326"/>
    </row>
    <row r="216" spans="1:12">
      <c r="A216" t="s">
        <v>166</v>
      </c>
      <c r="B216" s="1974"/>
      <c r="C216" s="72"/>
      <c r="D216" s="328">
        <v>22644.639999999999</v>
      </c>
      <c r="E216" s="328">
        <v>5239.8</v>
      </c>
      <c r="F216" s="328">
        <v>120387.79</v>
      </c>
      <c r="G216" s="135"/>
      <c r="H216" s="135"/>
      <c r="I216" s="326"/>
    </row>
    <row r="217" spans="1:12">
      <c r="A217" t="s">
        <v>167</v>
      </c>
      <c r="B217" s="1974"/>
      <c r="C217" s="72"/>
      <c r="D217" s="328">
        <v>440</v>
      </c>
      <c r="E217" s="328">
        <v>30</v>
      </c>
      <c r="F217" s="328"/>
      <c r="G217" s="135"/>
      <c r="H217" s="135"/>
      <c r="I217" s="326"/>
    </row>
    <row r="218" spans="1:12" ht="30">
      <c r="A218" s="56" t="s">
        <v>168</v>
      </c>
      <c r="B218" s="1974"/>
      <c r="C218" s="72"/>
      <c r="D218" s="328">
        <v>159904.85</v>
      </c>
      <c r="E218" s="328">
        <v>251930.35</v>
      </c>
      <c r="F218" s="328">
        <v>221338.85</v>
      </c>
      <c r="G218" s="135"/>
      <c r="H218" s="135"/>
      <c r="I218" s="326"/>
    </row>
    <row r="219" spans="1:12" ht="15.75" thickBot="1">
      <c r="A219" s="331"/>
      <c r="B219" s="1975"/>
      <c r="C219" s="42" t="s">
        <v>13</v>
      </c>
      <c r="D219" s="332">
        <f>SUM(D214:D218)</f>
        <v>511223.69000000006</v>
      </c>
      <c r="E219" s="332">
        <f t="shared" ref="E219:I219" si="24">SUM(E214:E218)</f>
        <v>1221891.0900000001</v>
      </c>
      <c r="F219" s="332">
        <f>F213+F218</f>
        <v>501943.05000000005</v>
      </c>
      <c r="G219" s="333">
        <f t="shared" si="24"/>
        <v>0</v>
      </c>
      <c r="H219" s="333">
        <f t="shared" si="24"/>
        <v>0</v>
      </c>
      <c r="I219" s="333">
        <f t="shared" si="24"/>
        <v>0</v>
      </c>
    </row>
    <row r="227" spans="1:1">
      <c r="A227" s="56"/>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1"/>
  <sheetViews>
    <sheetView topLeftCell="B7" zoomScale="80" zoomScaleNormal="80" workbookViewId="0">
      <selection activeCell="H18" sqref="H18:O18"/>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386</v>
      </c>
      <c r="C1" s="1944"/>
      <c r="D1" s="1944"/>
      <c r="E1" s="1944"/>
      <c r="F1" s="1944"/>
      <c r="G1" s="2433"/>
      <c r="H1" s="2433"/>
      <c r="I1" s="2433"/>
      <c r="J1" s="2433"/>
      <c r="K1" s="2433"/>
      <c r="L1" s="2433"/>
      <c r="M1" s="2433"/>
    </row>
    <row r="2" spans="1:25" s="1" customFormat="1" ht="20.100000000000001" customHeight="1" thickBot="1"/>
    <row r="3" spans="1:25" s="4" customFormat="1" ht="20.100000000000001" customHeight="1">
      <c r="A3" s="488" t="s">
        <v>2</v>
      </c>
      <c r="B3" s="489"/>
      <c r="C3" s="489"/>
      <c r="D3" s="489"/>
      <c r="E3" s="489"/>
      <c r="F3" s="2010"/>
      <c r="G3" s="2010"/>
      <c r="H3" s="2010"/>
      <c r="I3" s="2010"/>
      <c r="J3" s="2010"/>
      <c r="K3" s="2010"/>
      <c r="L3" s="2010"/>
      <c r="M3" s="2010"/>
      <c r="N3" s="2010"/>
      <c r="O3" s="2011"/>
    </row>
    <row r="4" spans="1:25" s="4" customFormat="1" ht="20.100000000000001" customHeight="1">
      <c r="A4" s="1947" t="s">
        <v>170</v>
      </c>
      <c r="B4" s="1948"/>
      <c r="C4" s="1948"/>
      <c r="D4" s="1948"/>
      <c r="E4" s="1948"/>
      <c r="F4" s="1948"/>
      <c r="G4" s="1948"/>
      <c r="H4" s="1948"/>
      <c r="I4" s="1948"/>
      <c r="J4" s="1948"/>
      <c r="K4" s="1948"/>
      <c r="L4" s="1948"/>
      <c r="M4" s="1948"/>
      <c r="N4" s="1948"/>
      <c r="O4" s="1949"/>
    </row>
    <row r="5" spans="1:25" s="4" customFormat="1" ht="20.100000000000001" customHeight="1">
      <c r="A5" s="1947"/>
      <c r="B5" s="1948"/>
      <c r="C5" s="1948"/>
      <c r="D5" s="1948"/>
      <c r="E5" s="1948"/>
      <c r="F5" s="1948"/>
      <c r="G5" s="1948"/>
      <c r="H5" s="1948"/>
      <c r="I5" s="1948"/>
      <c r="J5" s="1948"/>
      <c r="K5" s="1948"/>
      <c r="L5" s="1948"/>
      <c r="M5" s="1948"/>
      <c r="N5" s="1948"/>
      <c r="O5" s="1949"/>
    </row>
    <row r="6" spans="1:25" s="4" customFormat="1" ht="20.100000000000001" customHeight="1">
      <c r="A6" s="1947"/>
      <c r="B6" s="1948"/>
      <c r="C6" s="1948"/>
      <c r="D6" s="1948"/>
      <c r="E6" s="1948"/>
      <c r="F6" s="1948"/>
      <c r="G6" s="1948"/>
      <c r="H6" s="1948"/>
      <c r="I6" s="1948"/>
      <c r="J6" s="1948"/>
      <c r="K6" s="1948"/>
      <c r="L6" s="1948"/>
      <c r="M6" s="1948"/>
      <c r="N6" s="1948"/>
      <c r="O6" s="1949"/>
    </row>
    <row r="7" spans="1:25" s="4" customFormat="1" ht="20.100000000000001" customHeight="1">
      <c r="A7" s="1947"/>
      <c r="B7" s="1948"/>
      <c r="C7" s="1948"/>
      <c r="D7" s="1948"/>
      <c r="E7" s="1948"/>
      <c r="F7" s="1948"/>
      <c r="G7" s="1948"/>
      <c r="H7" s="1948"/>
      <c r="I7" s="1948"/>
      <c r="J7" s="1948"/>
      <c r="K7" s="1948"/>
      <c r="L7" s="1948"/>
      <c r="M7" s="1948"/>
      <c r="N7" s="1948"/>
      <c r="O7" s="1949"/>
    </row>
    <row r="8" spans="1:25" s="4" customFormat="1" ht="20.100000000000001" customHeight="1">
      <c r="A8" s="1947"/>
      <c r="B8" s="1948"/>
      <c r="C8" s="1948"/>
      <c r="D8" s="1948"/>
      <c r="E8" s="1948"/>
      <c r="F8" s="1948"/>
      <c r="G8" s="1948"/>
      <c r="H8" s="1948"/>
      <c r="I8" s="1948"/>
      <c r="J8" s="1948"/>
      <c r="K8" s="1948"/>
      <c r="L8" s="1948"/>
      <c r="M8" s="1948"/>
      <c r="N8" s="1948"/>
      <c r="O8" s="1949"/>
    </row>
    <row r="9" spans="1:25" s="4" customFormat="1" ht="20.100000000000001" customHeight="1">
      <c r="A9" s="1947"/>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515"/>
      <c r="B15" s="516"/>
      <c r="C15" s="10"/>
      <c r="D15" s="1953" t="s">
        <v>5</v>
      </c>
      <c r="E15" s="2012"/>
      <c r="F15" s="2012"/>
      <c r="G15" s="2012"/>
      <c r="H15" s="11"/>
      <c r="I15" s="12" t="s">
        <v>6</v>
      </c>
      <c r="J15" s="13"/>
      <c r="K15" s="13"/>
      <c r="L15" s="13"/>
      <c r="M15" s="13"/>
      <c r="N15" s="13"/>
      <c r="O15" s="14"/>
      <c r="P15" s="15"/>
      <c r="Q15" s="16"/>
      <c r="R15" s="17"/>
      <c r="S15" s="17"/>
      <c r="T15" s="17"/>
      <c r="U15" s="17"/>
      <c r="V15" s="17"/>
      <c r="W15" s="15"/>
      <c r="X15" s="15"/>
      <c r="Y15" s="16"/>
    </row>
    <row r="16" spans="1:25" s="56" customFormat="1" ht="129" customHeight="1">
      <c r="A16" s="18" t="s">
        <v>7</v>
      </c>
      <c r="B16" s="335" t="s">
        <v>171</v>
      </c>
      <c r="C16" s="20" t="s">
        <v>9</v>
      </c>
      <c r="D16" s="1486" t="s">
        <v>10</v>
      </c>
      <c r="E16" s="1487" t="s">
        <v>11</v>
      </c>
      <c r="F16" s="1487" t="s">
        <v>12</v>
      </c>
      <c r="G16" s="1488" t="s">
        <v>13</v>
      </c>
      <c r="H16" s="1489" t="s">
        <v>14</v>
      </c>
      <c r="I16" s="1490" t="s">
        <v>15</v>
      </c>
      <c r="J16" s="1490" t="s">
        <v>16</v>
      </c>
      <c r="K16" s="1490" t="s">
        <v>17</v>
      </c>
      <c r="L16" s="1490" t="s">
        <v>18</v>
      </c>
      <c r="M16" s="1491" t="s">
        <v>19</v>
      </c>
      <c r="N16" s="25" t="s">
        <v>20</v>
      </c>
      <c r="O16" s="27" t="s">
        <v>21</v>
      </c>
      <c r="P16" s="28"/>
      <c r="Q16" s="28"/>
      <c r="R16" s="28"/>
      <c r="S16" s="28"/>
      <c r="T16" s="28"/>
      <c r="U16" s="28"/>
      <c r="V16" s="28"/>
      <c r="W16" s="28"/>
      <c r="X16" s="28"/>
      <c r="Y16" s="28"/>
    </row>
    <row r="17" spans="1:25" ht="15" customHeight="1">
      <c r="A17" s="1874" t="s">
        <v>387</v>
      </c>
      <c r="B17" s="1855"/>
      <c r="C17" s="29">
        <v>2014</v>
      </c>
      <c r="D17" s="1492"/>
      <c r="E17" s="1493"/>
      <c r="F17" s="1493"/>
      <c r="G17" s="1494">
        <f t="shared" ref="G17:G23" si="0">SUM(D17:F17)</f>
        <v>0</v>
      </c>
      <c r="H17" s="1495"/>
      <c r="I17" s="1493"/>
      <c r="J17" s="1493"/>
      <c r="K17" s="1493"/>
      <c r="L17" s="1493"/>
      <c r="M17" s="1493"/>
      <c r="N17" s="31"/>
      <c r="O17" s="34"/>
      <c r="P17" s="35"/>
      <c r="Q17" s="35"/>
      <c r="R17" s="35"/>
      <c r="S17" s="35"/>
      <c r="T17" s="35"/>
      <c r="U17" s="35"/>
      <c r="V17" s="35"/>
      <c r="W17" s="35"/>
      <c r="X17" s="35"/>
      <c r="Y17" s="35"/>
    </row>
    <row r="18" spans="1:25">
      <c r="A18" s="1854"/>
      <c r="B18" s="1855"/>
      <c r="C18" s="36">
        <v>2015</v>
      </c>
      <c r="D18" s="37">
        <v>2</v>
      </c>
      <c r="E18" s="38">
        <v>5</v>
      </c>
      <c r="F18" s="578"/>
      <c r="G18" s="1494">
        <f>SUM(D18:F18)</f>
        <v>7</v>
      </c>
      <c r="H18" s="39">
        <v>1</v>
      </c>
      <c r="I18" s="38"/>
      <c r="J18" s="38"/>
      <c r="K18" s="38">
        <v>4</v>
      </c>
      <c r="L18" s="38"/>
      <c r="M18" s="38"/>
      <c r="N18" s="38"/>
      <c r="O18" s="40">
        <v>2</v>
      </c>
      <c r="P18" s="35"/>
      <c r="Q18" s="35"/>
      <c r="R18" s="35"/>
      <c r="S18" s="35"/>
      <c r="T18" s="35"/>
      <c r="U18" s="35"/>
      <c r="V18" s="35"/>
      <c r="W18" s="35"/>
      <c r="X18" s="35"/>
      <c r="Y18" s="35"/>
    </row>
    <row r="19" spans="1:25">
      <c r="A19" s="1854"/>
      <c r="B19" s="1855"/>
      <c r="C19" s="36">
        <v>2016</v>
      </c>
      <c r="D19" s="584">
        <f>50+2</f>
        <v>52</v>
      </c>
      <c r="E19" s="578">
        <v>4</v>
      </c>
      <c r="F19" s="578">
        <v>4</v>
      </c>
      <c r="G19" s="1494">
        <f t="shared" si="0"/>
        <v>60</v>
      </c>
      <c r="H19" s="582">
        <v>34</v>
      </c>
      <c r="I19" s="578">
        <v>2</v>
      </c>
      <c r="J19" s="578"/>
      <c r="K19" s="578">
        <f>14+2</f>
        <v>16</v>
      </c>
      <c r="L19" s="578"/>
      <c r="M19" s="578">
        <v>3</v>
      </c>
      <c r="N19" s="578"/>
      <c r="O19" s="579">
        <v>5</v>
      </c>
      <c r="P19" s="35"/>
      <c r="Q19" s="35"/>
      <c r="R19" s="35"/>
      <c r="S19" s="35"/>
      <c r="T19" s="35"/>
      <c r="U19" s="35"/>
      <c r="V19" s="35"/>
      <c r="W19" s="35"/>
      <c r="X19" s="35"/>
      <c r="Y19" s="35"/>
    </row>
    <row r="20" spans="1:25">
      <c r="A20" s="1854"/>
      <c r="B20" s="1855"/>
      <c r="C20" s="36">
        <v>2017</v>
      </c>
      <c r="D20" s="37">
        <v>27</v>
      </c>
      <c r="E20" s="38">
        <v>2</v>
      </c>
      <c r="F20" s="38">
        <v>5</v>
      </c>
      <c r="G20" s="32">
        <f t="shared" si="0"/>
        <v>34</v>
      </c>
      <c r="H20" s="39">
        <v>2</v>
      </c>
      <c r="I20" s="38">
        <v>7</v>
      </c>
      <c r="J20" s="38"/>
      <c r="K20" s="38">
        <v>3</v>
      </c>
      <c r="L20" s="38">
        <v>10</v>
      </c>
      <c r="M20" s="38">
        <v>12</v>
      </c>
      <c r="N20" s="38"/>
      <c r="O20" s="40"/>
      <c r="P20" s="35"/>
      <c r="Q20" s="35"/>
      <c r="R20" s="35"/>
      <c r="S20" s="35"/>
      <c r="T20" s="35"/>
      <c r="U20" s="35"/>
      <c r="V20" s="35"/>
      <c r="W20" s="35"/>
      <c r="X20" s="35"/>
      <c r="Y20" s="35"/>
    </row>
    <row r="21" spans="1:25">
      <c r="A21" s="1854"/>
      <c r="B21" s="1855"/>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1854"/>
      <c r="B22" s="1855"/>
      <c r="C22" s="41">
        <v>2019</v>
      </c>
      <c r="D22" s="37"/>
      <c r="E22" s="38"/>
      <c r="F22" s="38"/>
      <c r="G22" s="32">
        <f t="shared" si="0"/>
        <v>0</v>
      </c>
      <c r="H22" s="39"/>
      <c r="I22" s="38"/>
      <c r="J22" s="38"/>
      <c r="K22" s="38"/>
      <c r="L22" s="38"/>
      <c r="M22" s="38"/>
      <c r="N22" s="38"/>
      <c r="O22" s="40"/>
      <c r="P22" s="35"/>
      <c r="Q22" s="35"/>
      <c r="R22" s="35"/>
      <c r="S22" s="35"/>
      <c r="T22" s="35"/>
      <c r="U22" s="35"/>
      <c r="V22" s="35"/>
      <c r="W22" s="35"/>
      <c r="X22" s="35"/>
      <c r="Y22" s="35"/>
    </row>
    <row r="23" spans="1:25">
      <c r="A23" s="1854"/>
      <c r="B23" s="1855"/>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87.75" customHeight="1" thickBot="1">
      <c r="A24" s="1856"/>
      <c r="B24" s="1857"/>
      <c r="C24" s="1496" t="s">
        <v>13</v>
      </c>
      <c r="D24" s="1497">
        <f>SUM(D17:D23)</f>
        <v>81</v>
      </c>
      <c r="E24" s="1498">
        <f>SUM(E17:E23)</f>
        <v>11</v>
      </c>
      <c r="F24" s="1498">
        <f>SUM(F17:F23)</f>
        <v>9</v>
      </c>
      <c r="G24" s="1499">
        <f>SUM(D24:F24)</f>
        <v>101</v>
      </c>
      <c r="H24" s="1500">
        <f>SUM(H17:H23)</f>
        <v>37</v>
      </c>
      <c r="I24" s="1501">
        <f>SUM(I17:I23)</f>
        <v>9</v>
      </c>
      <c r="J24" s="1501">
        <f t="shared" ref="J24:N24" si="1">SUM(J17:J23)</f>
        <v>0</v>
      </c>
      <c r="K24" s="1501">
        <f t="shared" si="1"/>
        <v>23</v>
      </c>
      <c r="L24" s="1501">
        <f t="shared" si="1"/>
        <v>10</v>
      </c>
      <c r="M24" s="1501">
        <f t="shared" si="1"/>
        <v>15</v>
      </c>
      <c r="N24" s="1501">
        <f t="shared" si="1"/>
        <v>0</v>
      </c>
      <c r="O24" s="1502">
        <f>SUM(O17:O23)</f>
        <v>7</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515"/>
      <c r="B26" s="516"/>
      <c r="C26" s="50"/>
      <c r="D26" s="1959" t="s">
        <v>5</v>
      </c>
      <c r="E26" s="2071"/>
      <c r="F26" s="2071"/>
      <c r="G26" s="2072"/>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1874" t="s">
        <v>388</v>
      </c>
      <c r="B28" s="1855"/>
      <c r="C28" s="57">
        <v>2014</v>
      </c>
      <c r="D28" s="33"/>
      <c r="E28" s="31"/>
      <c r="F28" s="31"/>
      <c r="G28" s="58">
        <f>SUM(D28:F28)</f>
        <v>0</v>
      </c>
      <c r="H28" s="35"/>
      <c r="I28" s="35"/>
      <c r="J28" s="35"/>
      <c r="K28" s="35"/>
      <c r="L28" s="35"/>
      <c r="M28" s="35"/>
      <c r="N28" s="35"/>
      <c r="O28" s="35"/>
      <c r="P28" s="35"/>
      <c r="Q28" s="7"/>
    </row>
    <row r="29" spans="1:25">
      <c r="A29" s="1854"/>
      <c r="B29" s="1855"/>
      <c r="C29" s="59">
        <v>2015</v>
      </c>
      <c r="D29" s="39">
        <v>524</v>
      </c>
      <c r="E29" s="38">
        <v>10384</v>
      </c>
      <c r="F29" s="38"/>
      <c r="G29" s="58">
        <f t="shared" ref="G29:G35" si="2">SUM(D29:F29)</f>
        <v>10908</v>
      </c>
      <c r="H29" s="35"/>
      <c r="I29" s="35"/>
      <c r="J29" s="35"/>
      <c r="K29" s="35"/>
      <c r="L29" s="35"/>
      <c r="M29" s="35"/>
      <c r="N29" s="35"/>
      <c r="O29" s="35"/>
      <c r="P29" s="35"/>
      <c r="Q29" s="7"/>
    </row>
    <row r="30" spans="1:25">
      <c r="A30" s="1854"/>
      <c r="B30" s="1855"/>
      <c r="C30" s="59">
        <v>2016</v>
      </c>
      <c r="D30" s="39">
        <f>40563+100+56</f>
        <v>40719</v>
      </c>
      <c r="E30" s="38">
        <v>103000</v>
      </c>
      <c r="F30" s="329">
        <v>412148</v>
      </c>
      <c r="G30" s="58">
        <f t="shared" si="2"/>
        <v>555867</v>
      </c>
      <c r="H30" s="35"/>
      <c r="I30" s="35"/>
      <c r="J30" s="35"/>
      <c r="K30" s="35"/>
      <c r="L30" s="35"/>
      <c r="M30" s="35"/>
      <c r="N30" s="35"/>
      <c r="O30" s="35"/>
      <c r="P30" s="35"/>
      <c r="Q30" s="7"/>
    </row>
    <row r="31" spans="1:25">
      <c r="A31" s="1854"/>
      <c r="B31" s="1855"/>
      <c r="C31" s="59">
        <v>2017</v>
      </c>
      <c r="D31" s="39">
        <v>32557</v>
      </c>
      <c r="E31" s="38">
        <v>48000</v>
      </c>
      <c r="F31" s="38">
        <v>1812291</v>
      </c>
      <c r="G31" s="58">
        <f t="shared" si="2"/>
        <v>1892848</v>
      </c>
      <c r="H31" s="35"/>
      <c r="I31" s="35"/>
      <c r="J31" s="35"/>
      <c r="K31" s="35"/>
      <c r="L31" s="35"/>
      <c r="M31" s="35"/>
      <c r="N31" s="35"/>
      <c r="O31" s="35"/>
      <c r="P31" s="35"/>
      <c r="Q31" s="7"/>
    </row>
    <row r="32" spans="1:25">
      <c r="A32" s="1854"/>
      <c r="B32" s="1855"/>
      <c r="C32" s="59">
        <v>2018</v>
      </c>
      <c r="D32" s="39"/>
      <c r="E32" s="38"/>
      <c r="F32" s="38"/>
      <c r="G32" s="58">
        <f>SUM(D32:F32)</f>
        <v>0</v>
      </c>
      <c r="H32" s="35"/>
      <c r="I32" s="35"/>
      <c r="J32" s="35"/>
      <c r="K32" s="35"/>
      <c r="L32" s="35"/>
      <c r="M32" s="35"/>
      <c r="N32" s="35"/>
      <c r="O32" s="35"/>
      <c r="P32" s="35"/>
      <c r="Q32" s="7"/>
    </row>
    <row r="33" spans="1:17">
      <c r="A33" s="1854"/>
      <c r="B33" s="1855"/>
      <c r="C33" s="60">
        <v>2019</v>
      </c>
      <c r="D33" s="39"/>
      <c r="E33" s="38"/>
      <c r="F33" s="38"/>
      <c r="G33" s="58">
        <f t="shared" si="2"/>
        <v>0</v>
      </c>
      <c r="H33" s="35"/>
      <c r="I33" s="35"/>
      <c r="J33" s="35"/>
      <c r="K33" s="35"/>
      <c r="L33" s="35"/>
      <c r="M33" s="35"/>
      <c r="N33" s="35"/>
      <c r="O33" s="35"/>
      <c r="P33" s="35"/>
      <c r="Q33" s="7"/>
    </row>
    <row r="34" spans="1:17">
      <c r="A34" s="1854"/>
      <c r="B34" s="1855"/>
      <c r="C34" s="59">
        <v>2020</v>
      </c>
      <c r="D34" s="39"/>
      <c r="E34" s="38"/>
      <c r="F34" s="38"/>
      <c r="G34" s="58">
        <f t="shared" si="2"/>
        <v>0</v>
      </c>
      <c r="H34" s="35"/>
      <c r="I34" s="35"/>
      <c r="J34" s="35"/>
      <c r="K34" s="35"/>
      <c r="L34" s="35"/>
      <c r="M34" s="35"/>
      <c r="N34" s="35"/>
      <c r="O34" s="35"/>
      <c r="P34" s="35"/>
      <c r="Q34" s="7"/>
    </row>
    <row r="35" spans="1:17" ht="101.25" customHeight="1" thickBot="1">
      <c r="A35" s="1856"/>
      <c r="B35" s="1857"/>
      <c r="C35" s="61" t="s">
        <v>13</v>
      </c>
      <c r="D35" s="46">
        <f>SUM(D28:D34)</f>
        <v>73800</v>
      </c>
      <c r="E35" s="44">
        <f>SUM(E28:E34)</f>
        <v>161384</v>
      </c>
      <c r="F35" s="44">
        <f>SUM(F28:F34)</f>
        <v>2224439</v>
      </c>
      <c r="G35" s="48">
        <f t="shared" si="2"/>
        <v>2459623</v>
      </c>
      <c r="H35" s="35"/>
      <c r="I35" s="35"/>
      <c r="J35" s="35"/>
      <c r="K35" s="35"/>
      <c r="L35" s="35"/>
      <c r="M35" s="35"/>
      <c r="N35" s="35"/>
      <c r="O35" s="35"/>
      <c r="P35" s="35"/>
      <c r="Q35" s="7"/>
    </row>
    <row r="36" spans="1:17">
      <c r="A36" s="62"/>
      <c r="B36" s="62"/>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535" t="s">
        <v>26</v>
      </c>
      <c r="B39" s="536" t="s">
        <v>171</v>
      </c>
      <c r="C39" s="68" t="s">
        <v>9</v>
      </c>
      <c r="D39" s="69" t="s">
        <v>28</v>
      </c>
      <c r="E39" s="70" t="s">
        <v>29</v>
      </c>
      <c r="F39" s="71"/>
      <c r="G39" s="28"/>
      <c r="H39" s="28"/>
    </row>
    <row r="40" spans="1:17">
      <c r="A40" s="1874"/>
      <c r="B40" s="1855"/>
      <c r="C40" s="72">
        <v>2014</v>
      </c>
      <c r="D40" s="30"/>
      <c r="E40" s="29"/>
      <c r="F40" s="7"/>
      <c r="G40" s="35"/>
      <c r="H40" s="35"/>
    </row>
    <row r="41" spans="1:17">
      <c r="A41" s="1854"/>
      <c r="B41" s="1855"/>
      <c r="C41" s="73">
        <v>2015</v>
      </c>
      <c r="D41" s="37">
        <v>12579</v>
      </c>
      <c r="E41" s="36">
        <v>2515</v>
      </c>
      <c r="F41" s="7"/>
      <c r="G41" s="35"/>
      <c r="H41" s="35"/>
    </row>
    <row r="42" spans="1:17">
      <c r="A42" s="1854"/>
      <c r="B42" s="1855"/>
      <c r="C42" s="73">
        <v>2016</v>
      </c>
      <c r="D42" s="37">
        <v>6729</v>
      </c>
      <c r="E42" s="36">
        <v>4115</v>
      </c>
      <c r="F42" s="7"/>
      <c r="G42" s="35"/>
      <c r="H42" s="35"/>
    </row>
    <row r="43" spans="1:17">
      <c r="A43" s="1854"/>
      <c r="B43" s="1855"/>
      <c r="C43" s="73">
        <v>2017</v>
      </c>
      <c r="D43" s="37">
        <v>6925</v>
      </c>
      <c r="E43" s="36">
        <v>3588</v>
      </c>
      <c r="F43" s="7"/>
      <c r="G43" s="35"/>
      <c r="H43" s="35"/>
    </row>
    <row r="44" spans="1:17">
      <c r="A44" s="1854"/>
      <c r="B44" s="1855"/>
      <c r="C44" s="73">
        <v>2018</v>
      </c>
      <c r="D44" s="37"/>
      <c r="E44" s="36"/>
      <c r="F44" s="7"/>
      <c r="G44" s="35"/>
      <c r="H44" s="35"/>
    </row>
    <row r="45" spans="1:17">
      <c r="A45" s="1854"/>
      <c r="B45" s="1855"/>
      <c r="C45" s="73">
        <v>2019</v>
      </c>
      <c r="D45" s="37"/>
      <c r="E45" s="36"/>
      <c r="F45" s="7"/>
      <c r="G45" s="35"/>
      <c r="H45" s="35"/>
    </row>
    <row r="46" spans="1:17">
      <c r="A46" s="1854"/>
      <c r="B46" s="1855"/>
      <c r="C46" s="73">
        <v>2020</v>
      </c>
      <c r="D46" s="37"/>
      <c r="E46" s="36"/>
      <c r="F46" s="7"/>
      <c r="G46" s="35"/>
      <c r="H46" s="35"/>
    </row>
    <row r="47" spans="1:17" ht="15.75" thickBot="1">
      <c r="A47" s="1856"/>
      <c r="B47" s="1857"/>
      <c r="C47" s="42" t="s">
        <v>13</v>
      </c>
      <c r="D47" s="43">
        <f>SUM(D40:D46)</f>
        <v>26233</v>
      </c>
      <c r="E47" s="455">
        <f>SUM(E40:E46)</f>
        <v>10218</v>
      </c>
      <c r="F47" s="78"/>
      <c r="G47" s="35"/>
      <c r="H47" s="35"/>
    </row>
    <row r="48" spans="1:17" ht="15.75" thickBot="1">
      <c r="A48" s="1503"/>
      <c r="B48" s="445"/>
      <c r="C48" s="141"/>
      <c r="D48" s="78"/>
      <c r="E48" s="78"/>
      <c r="F48" s="78"/>
      <c r="G48" s="35"/>
      <c r="H48" s="35"/>
    </row>
    <row r="49" spans="1:15" ht="83.25" customHeight="1">
      <c r="A49" s="82" t="s">
        <v>32</v>
      </c>
      <c r="B49" s="536" t="s">
        <v>171</v>
      </c>
      <c r="C49" s="84" t="s">
        <v>9</v>
      </c>
      <c r="D49" s="69" t="s">
        <v>34</v>
      </c>
      <c r="E49" s="85" t="s">
        <v>35</v>
      </c>
      <c r="F49" s="85" t="s">
        <v>36</v>
      </c>
      <c r="G49" s="85" t="s">
        <v>37</v>
      </c>
      <c r="H49" s="85" t="s">
        <v>38</v>
      </c>
      <c r="I49" s="85" t="s">
        <v>39</v>
      </c>
      <c r="J49" s="85" t="s">
        <v>40</v>
      </c>
      <c r="K49" s="86" t="s">
        <v>41</v>
      </c>
    </row>
    <row r="50" spans="1:15" ht="17.25" customHeight="1">
      <c r="A50" s="1872"/>
      <c r="B50" s="1879"/>
      <c r="C50" s="87" t="s">
        <v>43</v>
      </c>
      <c r="D50" s="30"/>
      <c r="E50" s="31"/>
      <c r="F50" s="31"/>
      <c r="G50" s="31"/>
      <c r="H50" s="31"/>
      <c r="I50" s="31"/>
      <c r="J50" s="31"/>
      <c r="K50" s="34"/>
    </row>
    <row r="51" spans="1:15" ht="15" customHeight="1">
      <c r="A51" s="1874"/>
      <c r="B51" s="1881"/>
      <c r="C51" s="73">
        <v>2014</v>
      </c>
      <c r="D51" s="37"/>
      <c r="E51" s="38"/>
      <c r="F51" s="38"/>
      <c r="G51" s="38"/>
      <c r="H51" s="38"/>
      <c r="I51" s="38"/>
      <c r="J51" s="38"/>
      <c r="K51" s="88"/>
    </row>
    <row r="52" spans="1:15">
      <c r="A52" s="1874"/>
      <c r="B52" s="1881"/>
      <c r="C52" s="73">
        <v>2015</v>
      </c>
      <c r="D52" s="37"/>
      <c r="E52" s="38"/>
      <c r="F52" s="38"/>
      <c r="G52" s="38"/>
      <c r="H52" s="38"/>
      <c r="I52" s="38"/>
      <c r="J52" s="38"/>
      <c r="K52" s="88"/>
    </row>
    <row r="53" spans="1:15">
      <c r="A53" s="1874"/>
      <c r="B53" s="1881"/>
      <c r="C53" s="73">
        <v>2016</v>
      </c>
      <c r="D53" s="37"/>
      <c r="E53" s="38"/>
      <c r="F53" s="38"/>
      <c r="G53" s="38"/>
      <c r="H53" s="38"/>
      <c r="I53" s="38"/>
      <c r="J53" s="38"/>
      <c r="K53" s="88"/>
    </row>
    <row r="54" spans="1:15">
      <c r="A54" s="1874"/>
      <c r="B54" s="1881"/>
      <c r="C54" s="73">
        <v>2017</v>
      </c>
      <c r="D54" s="37"/>
      <c r="E54" s="38"/>
      <c r="F54" s="38"/>
      <c r="G54" s="38"/>
      <c r="H54" s="38"/>
      <c r="I54" s="38"/>
      <c r="J54" s="38"/>
      <c r="K54" s="88"/>
    </row>
    <row r="55" spans="1:15">
      <c r="A55" s="1874"/>
      <c r="B55" s="1881"/>
      <c r="C55" s="73">
        <v>2018</v>
      </c>
      <c r="D55" s="37"/>
      <c r="E55" s="38"/>
      <c r="F55" s="38"/>
      <c r="G55" s="38"/>
      <c r="H55" s="38"/>
      <c r="I55" s="38"/>
      <c r="J55" s="38"/>
      <c r="K55" s="88"/>
    </row>
    <row r="56" spans="1:15">
      <c r="A56" s="1874"/>
      <c r="B56" s="1881"/>
      <c r="C56" s="73">
        <v>2019</v>
      </c>
      <c r="D56" s="37"/>
      <c r="E56" s="38"/>
      <c r="F56" s="38"/>
      <c r="G56" s="38"/>
      <c r="H56" s="38"/>
      <c r="I56" s="38"/>
      <c r="J56" s="38"/>
      <c r="K56" s="88"/>
    </row>
    <row r="57" spans="1:15">
      <c r="A57" s="1874"/>
      <c r="B57" s="1881"/>
      <c r="C57" s="73">
        <v>2020</v>
      </c>
      <c r="D57" s="37"/>
      <c r="E57" s="38"/>
      <c r="F57" s="38"/>
      <c r="G57" s="38"/>
      <c r="H57" s="38"/>
      <c r="I57" s="38"/>
      <c r="J57" s="38"/>
      <c r="K57" s="93"/>
    </row>
    <row r="58" spans="1:15" ht="20.25" customHeight="1" thickBot="1">
      <c r="A58" s="1876"/>
      <c r="B58" s="1883"/>
      <c r="C58" s="42" t="s">
        <v>13</v>
      </c>
      <c r="D58" s="43">
        <f>SUM(D51:D57)</f>
        <v>0</v>
      </c>
      <c r="E58" s="44">
        <f>SUM(E51:E57)</f>
        <v>0</v>
      </c>
      <c r="F58" s="44">
        <f>SUM(F51:F57)</f>
        <v>0</v>
      </c>
      <c r="G58" s="44">
        <f>SUM(G51:G57)</f>
        <v>0</v>
      </c>
      <c r="H58" s="44">
        <f>SUM(H51:H57)</f>
        <v>0</v>
      </c>
      <c r="I58" s="44">
        <f t="shared" ref="I58" si="3">SUM(I51:I57)</f>
        <v>0</v>
      </c>
      <c r="J58" s="44">
        <f>SUM(J51:J57)</f>
        <v>0</v>
      </c>
      <c r="K58" s="48">
        <f>SUM(K50:K56)</f>
        <v>0</v>
      </c>
    </row>
    <row r="59" spans="1:15" ht="15.75" thickBot="1"/>
    <row r="60" spans="1:15" ht="21" customHeight="1">
      <c r="A60" s="2073" t="s">
        <v>44</v>
      </c>
      <c r="B60" s="540"/>
      <c r="C60" s="2074" t="s">
        <v>9</v>
      </c>
      <c r="D60" s="1941" t="s">
        <v>45</v>
      </c>
      <c r="E60" s="96" t="s">
        <v>6</v>
      </c>
      <c r="F60" s="541"/>
      <c r="G60" s="541"/>
      <c r="H60" s="541"/>
      <c r="I60" s="541"/>
      <c r="J60" s="541"/>
      <c r="K60" s="541"/>
      <c r="L60" s="542"/>
    </row>
    <row r="61" spans="1:15" ht="115.5" customHeight="1">
      <c r="A61" s="1970"/>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1898" t="s">
        <v>389</v>
      </c>
      <c r="B62" s="1899"/>
      <c r="C62" s="106">
        <v>2014</v>
      </c>
      <c r="D62" s="107"/>
      <c r="E62" s="108"/>
      <c r="F62" s="109"/>
      <c r="G62" s="109"/>
      <c r="H62" s="109"/>
      <c r="I62" s="109"/>
      <c r="J62" s="109"/>
      <c r="K62" s="109"/>
      <c r="L62" s="34"/>
      <c r="M62" s="7"/>
      <c r="N62" s="7"/>
      <c r="O62" s="7"/>
    </row>
    <row r="63" spans="1:15">
      <c r="A63" s="1891"/>
      <c r="B63" s="1899"/>
      <c r="C63" s="110">
        <v>2015</v>
      </c>
      <c r="D63" s="178">
        <v>1</v>
      </c>
      <c r="E63" s="177"/>
      <c r="F63" s="178"/>
      <c r="G63" s="178"/>
      <c r="H63" s="178"/>
      <c r="I63" s="345"/>
      <c r="J63" s="345"/>
      <c r="K63" s="345"/>
      <c r="L63" s="397">
        <v>1</v>
      </c>
      <c r="M63" s="7"/>
      <c r="N63" s="7"/>
      <c r="O63" s="7"/>
    </row>
    <row r="64" spans="1:15">
      <c r="A64" s="1891"/>
      <c r="B64" s="1899"/>
      <c r="C64" s="110">
        <v>2016</v>
      </c>
      <c r="D64" s="178">
        <v>19</v>
      </c>
      <c r="E64" s="177"/>
      <c r="F64" s="178"/>
      <c r="G64" s="178"/>
      <c r="H64" s="178">
        <v>19</v>
      </c>
      <c r="I64" s="345"/>
      <c r="J64" s="345"/>
      <c r="K64" s="345"/>
      <c r="L64" s="593"/>
      <c r="M64" s="7"/>
      <c r="N64" s="7"/>
      <c r="O64" s="7"/>
    </row>
    <row r="65" spans="1:20">
      <c r="A65" s="1891"/>
      <c r="B65" s="1899"/>
      <c r="C65" s="110">
        <v>2017</v>
      </c>
      <c r="D65" s="111">
        <v>19</v>
      </c>
      <c r="E65" s="112"/>
      <c r="F65" s="38"/>
      <c r="G65" s="38"/>
      <c r="H65" s="38">
        <v>17</v>
      </c>
      <c r="I65" s="38"/>
      <c r="J65" s="38"/>
      <c r="K65" s="38">
        <v>2</v>
      </c>
      <c r="L65" s="88"/>
      <c r="M65" s="7"/>
      <c r="N65" s="7"/>
      <c r="O65" s="7"/>
    </row>
    <row r="66" spans="1:20">
      <c r="A66" s="1891"/>
      <c r="B66" s="1899"/>
      <c r="C66" s="110">
        <v>2018</v>
      </c>
      <c r="D66" s="111"/>
      <c r="E66" s="112"/>
      <c r="F66" s="38"/>
      <c r="G66" s="38"/>
      <c r="H66" s="38"/>
      <c r="I66" s="38"/>
      <c r="J66" s="38"/>
      <c r="K66" s="38"/>
      <c r="L66" s="88"/>
      <c r="M66" s="7"/>
      <c r="N66" s="7"/>
      <c r="O66" s="7"/>
    </row>
    <row r="67" spans="1:20" ht="17.25" customHeight="1">
      <c r="A67" s="1891"/>
      <c r="B67" s="1899"/>
      <c r="C67" s="110">
        <v>2019</v>
      </c>
      <c r="D67" s="111"/>
      <c r="E67" s="112"/>
      <c r="F67" s="38"/>
      <c r="G67" s="38"/>
      <c r="H67" s="38"/>
      <c r="I67" s="38"/>
      <c r="J67" s="38"/>
      <c r="K67" s="38"/>
      <c r="L67" s="88"/>
      <c r="M67" s="7"/>
      <c r="N67" s="7"/>
      <c r="O67" s="7"/>
    </row>
    <row r="68" spans="1:20" ht="16.5" customHeight="1">
      <c r="A68" s="1891"/>
      <c r="B68" s="1899"/>
      <c r="C68" s="110">
        <v>2020</v>
      </c>
      <c r="D68" s="111"/>
      <c r="E68" s="112"/>
      <c r="F68" s="38"/>
      <c r="G68" s="38"/>
      <c r="H68" s="38"/>
      <c r="I68" s="38"/>
      <c r="J68" s="38"/>
      <c r="K68" s="38"/>
      <c r="L68" s="88"/>
      <c r="M68" s="78"/>
      <c r="N68" s="78"/>
      <c r="O68" s="78"/>
    </row>
    <row r="69" spans="1:20" ht="18" customHeight="1" thickBot="1">
      <c r="A69" s="1980"/>
      <c r="B69" s="1900"/>
      <c r="C69" s="113" t="s">
        <v>13</v>
      </c>
      <c r="D69" s="114">
        <f>SUM(D62:D68)</f>
        <v>39</v>
      </c>
      <c r="E69" s="115">
        <f>SUM(E62:E68)</f>
        <v>0</v>
      </c>
      <c r="F69" s="116">
        <f t="shared" ref="F69:I69" si="4">SUM(F62:F68)</f>
        <v>0</v>
      </c>
      <c r="G69" s="116">
        <f t="shared" si="4"/>
        <v>0</v>
      </c>
      <c r="H69" s="116">
        <f t="shared" si="4"/>
        <v>36</v>
      </c>
      <c r="I69" s="116">
        <f t="shared" si="4"/>
        <v>0</v>
      </c>
      <c r="J69" s="116"/>
      <c r="K69" s="116">
        <f>SUM(K62:K68)</f>
        <v>2</v>
      </c>
      <c r="L69" s="117">
        <f>SUM(L62:L68)</f>
        <v>1</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535" t="s">
        <v>47</v>
      </c>
      <c r="B71" s="536"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1874" t="s">
        <v>390</v>
      </c>
      <c r="B72" s="1899"/>
      <c r="C72" s="72">
        <v>2014</v>
      </c>
      <c r="D72" s="131"/>
      <c r="E72" s="131"/>
      <c r="F72" s="131"/>
      <c r="G72" s="132">
        <f>SUM(D72:F72)</f>
        <v>0</v>
      </c>
      <c r="H72" s="30"/>
      <c r="I72" s="133"/>
      <c r="J72" s="109"/>
      <c r="K72" s="109"/>
      <c r="L72" s="109"/>
      <c r="M72" s="109"/>
      <c r="N72" s="109"/>
      <c r="O72" s="134"/>
    </row>
    <row r="73" spans="1:20">
      <c r="A73" s="1854"/>
      <c r="B73" s="1899"/>
      <c r="C73" s="73">
        <v>2015</v>
      </c>
      <c r="D73" s="135"/>
      <c r="E73" s="135">
        <v>2</v>
      </c>
      <c r="F73" s="135"/>
      <c r="G73" s="132">
        <f t="shared" ref="G73:G78" si="5">SUM(D73:F73)</f>
        <v>2</v>
      </c>
      <c r="H73" s="37"/>
      <c r="I73" s="37"/>
      <c r="J73" s="38"/>
      <c r="K73" s="38">
        <v>2</v>
      </c>
      <c r="L73" s="38"/>
      <c r="M73" s="38"/>
      <c r="N73" s="38"/>
      <c r="O73" s="88"/>
    </row>
    <row r="74" spans="1:20">
      <c r="A74" s="1854"/>
      <c r="B74" s="1899"/>
      <c r="C74" s="73">
        <v>2016</v>
      </c>
      <c r="D74" s="1504">
        <v>5</v>
      </c>
      <c r="E74" s="1504">
        <v>4</v>
      </c>
      <c r="F74" s="1504"/>
      <c r="G74" s="384">
        <f t="shared" si="5"/>
        <v>9</v>
      </c>
      <c r="H74" s="217"/>
      <c r="I74" s="217">
        <v>1</v>
      </c>
      <c r="J74" s="178"/>
      <c r="K74" s="178">
        <v>8</v>
      </c>
      <c r="L74" s="178"/>
      <c r="M74" s="178"/>
      <c r="N74" s="178"/>
      <c r="O74" s="88"/>
    </row>
    <row r="75" spans="1:20">
      <c r="A75" s="1854"/>
      <c r="B75" s="1899"/>
      <c r="C75" s="73">
        <v>2017</v>
      </c>
      <c r="D75" s="1504">
        <v>1</v>
      </c>
      <c r="E75" s="1504">
        <v>1</v>
      </c>
      <c r="F75" s="1504"/>
      <c r="G75" s="384">
        <f t="shared" si="5"/>
        <v>2</v>
      </c>
      <c r="H75" s="217"/>
      <c r="I75" s="217"/>
      <c r="J75" s="178"/>
      <c r="K75" s="178">
        <v>2</v>
      </c>
      <c r="L75" s="178"/>
      <c r="M75" s="178"/>
      <c r="N75" s="178"/>
      <c r="O75" s="88"/>
    </row>
    <row r="76" spans="1:20">
      <c r="A76" s="1854"/>
      <c r="B76" s="1899"/>
      <c r="C76" s="73">
        <v>2018</v>
      </c>
      <c r="D76" s="1505"/>
      <c r="E76" s="1505"/>
      <c r="F76" s="1505"/>
      <c r="G76" s="384">
        <f t="shared" si="5"/>
        <v>0</v>
      </c>
      <c r="H76" s="1506"/>
      <c r="I76" s="1506"/>
      <c r="J76" s="345"/>
      <c r="K76" s="345"/>
      <c r="L76" s="38"/>
      <c r="M76" s="38"/>
      <c r="N76" s="38"/>
      <c r="O76" s="88"/>
    </row>
    <row r="77" spans="1:20" ht="15.75" customHeight="1">
      <c r="A77" s="1854"/>
      <c r="B77" s="1899"/>
      <c r="C77" s="73">
        <v>2019</v>
      </c>
      <c r="D77" s="135"/>
      <c r="E77" s="135"/>
      <c r="F77" s="135"/>
      <c r="G77" s="132">
        <f t="shared" si="5"/>
        <v>0</v>
      </c>
      <c r="H77" s="37"/>
      <c r="I77" s="37"/>
      <c r="J77" s="38"/>
      <c r="K77" s="38"/>
      <c r="L77" s="38"/>
      <c r="M77" s="38"/>
      <c r="N77" s="38"/>
      <c r="O77" s="88"/>
    </row>
    <row r="78" spans="1:20" ht="17.25" customHeight="1">
      <c r="A78" s="1854"/>
      <c r="B78" s="1899"/>
      <c r="C78" s="73">
        <v>2020</v>
      </c>
      <c r="D78" s="135"/>
      <c r="E78" s="135"/>
      <c r="F78" s="135"/>
      <c r="G78" s="132">
        <f t="shared" si="5"/>
        <v>0</v>
      </c>
      <c r="H78" s="37"/>
      <c r="I78" s="37"/>
      <c r="J78" s="38"/>
      <c r="K78" s="38"/>
      <c r="L78" s="38"/>
      <c r="M78" s="38"/>
      <c r="N78" s="38"/>
      <c r="O78" s="88"/>
    </row>
    <row r="79" spans="1:20" ht="20.25" customHeight="1" thickBot="1">
      <c r="A79" s="1980"/>
      <c r="B79" s="1900"/>
      <c r="C79" s="136" t="s">
        <v>13</v>
      </c>
      <c r="D79" s="114">
        <f>SUM(D72:D78)</f>
        <v>6</v>
      </c>
      <c r="E79" s="114">
        <f>SUM(E72:E78)</f>
        <v>7</v>
      </c>
      <c r="F79" s="114">
        <f>SUM(F72:F78)</f>
        <v>0</v>
      </c>
      <c r="G79" s="137">
        <f>SUM(G72:G78)</f>
        <v>13</v>
      </c>
      <c r="H79" s="138">
        <v>0</v>
      </c>
      <c r="I79" s="139">
        <f t="shared" ref="I79:O79" si="6">SUM(I72:I78)</f>
        <v>1</v>
      </c>
      <c r="J79" s="116">
        <f t="shared" si="6"/>
        <v>0</v>
      </c>
      <c r="K79" s="116">
        <f t="shared" si="6"/>
        <v>12</v>
      </c>
      <c r="L79" s="116">
        <f t="shared" si="6"/>
        <v>0</v>
      </c>
      <c r="M79" s="116">
        <f t="shared" si="6"/>
        <v>0</v>
      </c>
      <c r="N79" s="116">
        <f t="shared" si="6"/>
        <v>0</v>
      </c>
      <c r="O79" s="117">
        <f t="shared" si="6"/>
        <v>0</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547" t="s">
        <v>56</v>
      </c>
      <c r="B84" s="548" t="s">
        <v>178</v>
      </c>
      <c r="C84" s="149" t="s">
        <v>9</v>
      </c>
      <c r="D84" s="150" t="s">
        <v>58</v>
      </c>
      <c r="E84" s="151" t="s">
        <v>59</v>
      </c>
      <c r="F84" s="152" t="s">
        <v>60</v>
      </c>
      <c r="G84" s="152" t="s">
        <v>61</v>
      </c>
      <c r="H84" s="152" t="s">
        <v>62</v>
      </c>
      <c r="I84" s="152" t="s">
        <v>63</v>
      </c>
      <c r="J84" s="152" t="s">
        <v>64</v>
      </c>
      <c r="K84" s="153" t="s">
        <v>65</v>
      </c>
    </row>
    <row r="85" spans="1:16" ht="15" customHeight="1">
      <c r="A85" s="2013" t="s">
        <v>391</v>
      </c>
      <c r="B85" s="1899"/>
      <c r="C85" s="72">
        <v>2014</v>
      </c>
      <c r="D85" s="154"/>
      <c r="E85" s="155"/>
      <c r="F85" s="31"/>
      <c r="G85" s="31"/>
      <c r="H85" s="31"/>
      <c r="I85" s="31"/>
      <c r="J85" s="31"/>
      <c r="K85" s="34"/>
    </row>
    <row r="86" spans="1:16">
      <c r="A86" s="1939"/>
      <c r="B86" s="1899"/>
      <c r="C86" s="73">
        <v>2015</v>
      </c>
      <c r="D86" s="156">
        <v>30</v>
      </c>
      <c r="E86" s="112"/>
      <c r="F86" s="38"/>
      <c r="G86" s="38"/>
      <c r="H86" s="38"/>
      <c r="I86" s="38"/>
      <c r="J86" s="38"/>
      <c r="K86" s="88">
        <v>30</v>
      </c>
    </row>
    <row r="87" spans="1:16">
      <c r="A87" s="1939"/>
      <c r="B87" s="1899"/>
      <c r="C87" s="362">
        <v>2016</v>
      </c>
      <c r="D87" s="219"/>
      <c r="E87" s="177"/>
      <c r="F87" s="178"/>
      <c r="G87" s="178"/>
      <c r="H87" s="178"/>
      <c r="I87" s="178"/>
      <c r="J87" s="178"/>
      <c r="K87" s="179"/>
    </row>
    <row r="88" spans="1:16">
      <c r="A88" s="1939"/>
      <c r="B88" s="1899"/>
      <c r="C88" s="73">
        <v>2017</v>
      </c>
      <c r="D88" s="156"/>
      <c r="E88" s="112"/>
      <c r="F88" s="38"/>
      <c r="G88" s="38"/>
      <c r="H88" s="38"/>
      <c r="I88" s="38"/>
      <c r="J88" s="38"/>
      <c r="K88" s="88"/>
    </row>
    <row r="89" spans="1:16">
      <c r="A89" s="1939"/>
      <c r="B89" s="1899"/>
      <c r="C89" s="73">
        <v>2018</v>
      </c>
      <c r="D89" s="156"/>
      <c r="E89" s="112"/>
      <c r="F89" s="38"/>
      <c r="G89" s="38"/>
      <c r="H89" s="38"/>
      <c r="I89" s="38"/>
      <c r="J89" s="38"/>
      <c r="K89" s="88"/>
    </row>
    <row r="90" spans="1:16">
      <c r="A90" s="1939"/>
      <c r="B90" s="1899"/>
      <c r="C90" s="73">
        <v>2019</v>
      </c>
      <c r="D90" s="156"/>
      <c r="E90" s="112"/>
      <c r="F90" s="38"/>
      <c r="G90" s="38"/>
      <c r="H90" s="38"/>
      <c r="I90" s="38"/>
      <c r="J90" s="38"/>
      <c r="K90" s="88"/>
    </row>
    <row r="91" spans="1:16">
      <c r="A91" s="1939"/>
      <c r="B91" s="1899"/>
      <c r="C91" s="73">
        <v>2020</v>
      </c>
      <c r="D91" s="156"/>
      <c r="E91" s="112"/>
      <c r="F91" s="38"/>
      <c r="G91" s="38"/>
      <c r="H91" s="38"/>
      <c r="I91" s="38"/>
      <c r="J91" s="38"/>
      <c r="K91" s="88"/>
    </row>
    <row r="92" spans="1:16" ht="18" customHeight="1" thickBot="1">
      <c r="A92" s="1940"/>
      <c r="B92" s="1900"/>
      <c r="C92" s="136" t="s">
        <v>13</v>
      </c>
      <c r="D92" s="157">
        <f t="shared" ref="D92:I92" si="7">SUM(D85:D91)</f>
        <v>30</v>
      </c>
      <c r="E92" s="115">
        <f t="shared" si="7"/>
        <v>0</v>
      </c>
      <c r="F92" s="116">
        <f t="shared" si="7"/>
        <v>0</v>
      </c>
      <c r="G92" s="116">
        <f t="shared" si="7"/>
        <v>0</v>
      </c>
      <c r="H92" s="116">
        <f t="shared" si="7"/>
        <v>0</v>
      </c>
      <c r="I92" s="116">
        <f t="shared" si="7"/>
        <v>0</v>
      </c>
      <c r="J92" s="116">
        <f>SUM(J85:J91)</f>
        <v>0</v>
      </c>
      <c r="K92" s="117">
        <f>SUM(K85:K91)</f>
        <v>30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051" t="s">
        <v>68</v>
      </c>
      <c r="B96" s="2052" t="s">
        <v>179</v>
      </c>
      <c r="C96" s="2058" t="s">
        <v>9</v>
      </c>
      <c r="D96" s="1916" t="s">
        <v>70</v>
      </c>
      <c r="E96" s="1917"/>
      <c r="F96" s="162" t="s">
        <v>71</v>
      </c>
      <c r="G96" s="549"/>
      <c r="H96" s="549"/>
      <c r="I96" s="549"/>
      <c r="J96" s="549"/>
      <c r="K96" s="549"/>
      <c r="L96" s="549"/>
      <c r="M96" s="550"/>
      <c r="N96" s="165"/>
      <c r="O96" s="165"/>
      <c r="P96" s="165"/>
    </row>
    <row r="97" spans="1:16" ht="100.5" customHeight="1">
      <c r="A97" s="1910"/>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1898" t="s">
        <v>392</v>
      </c>
      <c r="B98" s="1899"/>
      <c r="C98" s="106">
        <v>2014</v>
      </c>
      <c r="D98" s="30"/>
      <c r="E98" s="31"/>
      <c r="F98" s="174"/>
      <c r="G98" s="175"/>
      <c r="H98" s="175"/>
      <c r="I98" s="175"/>
      <c r="J98" s="175"/>
      <c r="K98" s="175"/>
      <c r="L98" s="175"/>
      <c r="M98" s="176"/>
      <c r="N98" s="165"/>
      <c r="O98" s="165"/>
      <c r="P98" s="165"/>
    </row>
    <row r="99" spans="1:16" ht="16.5" customHeight="1">
      <c r="A99" s="1891"/>
      <c r="B99" s="1899"/>
      <c r="C99" s="110">
        <v>2015</v>
      </c>
      <c r="D99" s="37">
        <v>1</v>
      </c>
      <c r="E99" s="38">
        <v>2</v>
      </c>
      <c r="F99" s="177"/>
      <c r="G99" s="178"/>
      <c r="H99" s="178"/>
      <c r="I99" s="178"/>
      <c r="J99" s="178"/>
      <c r="K99" s="178"/>
      <c r="L99" s="178"/>
      <c r="M99" s="179">
        <v>1</v>
      </c>
      <c r="N99" s="165"/>
      <c r="O99" s="165"/>
      <c r="P99" s="165"/>
    </row>
    <row r="100" spans="1:16" ht="16.5" customHeight="1">
      <c r="A100" s="1891"/>
      <c r="B100" s="1899"/>
      <c r="C100" s="110">
        <v>2016</v>
      </c>
      <c r="D100" s="217">
        <v>1</v>
      </c>
      <c r="E100" s="178">
        <v>6</v>
      </c>
      <c r="F100" s="177"/>
      <c r="G100" s="178"/>
      <c r="H100" s="178"/>
      <c r="I100" s="178"/>
      <c r="J100" s="178"/>
      <c r="K100" s="178"/>
      <c r="L100" s="178"/>
      <c r="M100" s="179">
        <v>1</v>
      </c>
      <c r="N100" s="165"/>
      <c r="O100" s="165"/>
      <c r="P100" s="165"/>
    </row>
    <row r="101" spans="1:16" ht="16.5" customHeight="1">
      <c r="A101" s="1891"/>
      <c r="B101" s="1899"/>
      <c r="C101" s="110">
        <v>2017</v>
      </c>
      <c r="D101" s="37">
        <v>1</v>
      </c>
      <c r="E101" s="38">
        <v>8</v>
      </c>
      <c r="F101" s="177"/>
      <c r="G101" s="178"/>
      <c r="H101" s="178"/>
      <c r="I101" s="178"/>
      <c r="J101" s="178"/>
      <c r="K101" s="178"/>
      <c r="L101" s="178"/>
      <c r="M101" s="179">
        <v>1</v>
      </c>
      <c r="N101" s="165"/>
      <c r="O101" s="165"/>
      <c r="P101" s="165"/>
    </row>
    <row r="102" spans="1:16" ht="15.75" customHeight="1">
      <c r="A102" s="1891"/>
      <c r="B102" s="1899"/>
      <c r="C102" s="110">
        <v>2018</v>
      </c>
      <c r="D102" s="37"/>
      <c r="E102" s="38"/>
      <c r="F102" s="177"/>
      <c r="G102" s="178"/>
      <c r="H102" s="178"/>
      <c r="I102" s="178"/>
      <c r="J102" s="178"/>
      <c r="K102" s="178"/>
      <c r="L102" s="178"/>
      <c r="M102" s="179"/>
      <c r="N102" s="165"/>
      <c r="O102" s="165"/>
      <c r="P102" s="165"/>
    </row>
    <row r="103" spans="1:16" ht="14.25" customHeight="1">
      <c r="A103" s="1891"/>
      <c r="B103" s="1899"/>
      <c r="C103" s="110">
        <v>2019</v>
      </c>
      <c r="D103" s="37"/>
      <c r="E103" s="38"/>
      <c r="F103" s="177"/>
      <c r="G103" s="178"/>
      <c r="H103" s="178"/>
      <c r="I103" s="178"/>
      <c r="J103" s="178"/>
      <c r="K103" s="178"/>
      <c r="L103" s="178"/>
      <c r="M103" s="179"/>
      <c r="N103" s="165"/>
      <c r="O103" s="165"/>
      <c r="P103" s="165"/>
    </row>
    <row r="104" spans="1:16" ht="14.25" customHeight="1">
      <c r="A104" s="1891"/>
      <c r="B104" s="1899"/>
      <c r="C104" s="110">
        <v>2020</v>
      </c>
      <c r="D104" s="37"/>
      <c r="E104" s="38"/>
      <c r="F104" s="177"/>
      <c r="G104" s="178"/>
      <c r="H104" s="178"/>
      <c r="I104" s="178"/>
      <c r="J104" s="178"/>
      <c r="K104" s="178"/>
      <c r="L104" s="178"/>
      <c r="M104" s="179"/>
      <c r="N104" s="165"/>
      <c r="O104" s="165"/>
      <c r="P104" s="165"/>
    </row>
    <row r="105" spans="1:16" ht="19.5" customHeight="1" thickBot="1">
      <c r="A105" s="1915"/>
      <c r="B105" s="1900"/>
      <c r="C105" s="113" t="s">
        <v>13</v>
      </c>
      <c r="D105" s="139">
        <f>SUM(D98:D104)</f>
        <v>3</v>
      </c>
      <c r="E105" s="116">
        <f t="shared" ref="E105:K105" si="8">SUM(E98:E104)</f>
        <v>16</v>
      </c>
      <c r="F105" s="180">
        <f t="shared" si="8"/>
        <v>0</v>
      </c>
      <c r="G105" s="181">
        <f t="shared" si="8"/>
        <v>0</v>
      </c>
      <c r="H105" s="181">
        <f t="shared" si="8"/>
        <v>0</v>
      </c>
      <c r="I105" s="181">
        <f>SUM(I98:I104)</f>
        <v>0</v>
      </c>
      <c r="J105" s="181">
        <f t="shared" si="8"/>
        <v>0</v>
      </c>
      <c r="K105" s="181">
        <f t="shared" si="8"/>
        <v>0</v>
      </c>
      <c r="L105" s="181">
        <f>SUM(L98:L104)</f>
        <v>0</v>
      </c>
      <c r="M105" s="182">
        <f>SUM(M98:M104)</f>
        <v>3</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051" t="s">
        <v>77</v>
      </c>
      <c r="B107" s="2052" t="s">
        <v>179</v>
      </c>
      <c r="C107" s="2058" t="s">
        <v>9</v>
      </c>
      <c r="D107" s="1926" t="s">
        <v>78</v>
      </c>
      <c r="E107" s="162" t="s">
        <v>79</v>
      </c>
      <c r="F107" s="549"/>
      <c r="G107" s="549"/>
      <c r="H107" s="549"/>
      <c r="I107" s="549"/>
      <c r="J107" s="549"/>
      <c r="K107" s="549"/>
      <c r="L107" s="550"/>
      <c r="M107" s="185"/>
      <c r="N107" s="185"/>
    </row>
    <row r="108" spans="1:16" ht="103.5"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1898"/>
      <c r="B109" s="1899"/>
      <c r="C109" s="106">
        <v>2014</v>
      </c>
      <c r="D109" s="31"/>
      <c r="E109" s="174"/>
      <c r="F109" s="175"/>
      <c r="G109" s="175"/>
      <c r="H109" s="175"/>
      <c r="I109" s="175"/>
      <c r="J109" s="175"/>
      <c r="K109" s="175"/>
      <c r="L109" s="176"/>
      <c r="M109" s="185"/>
      <c r="N109" s="185"/>
    </row>
    <row r="110" spans="1:16">
      <c r="A110" s="1891"/>
      <c r="B110" s="1899"/>
      <c r="C110" s="110">
        <v>2015</v>
      </c>
      <c r="D110" s="38"/>
      <c r="E110" s="177"/>
      <c r="F110" s="178"/>
      <c r="G110" s="178"/>
      <c r="H110" s="178"/>
      <c r="I110" s="178"/>
      <c r="J110" s="178"/>
      <c r="K110" s="178"/>
      <c r="L110" s="179"/>
      <c r="M110" s="185"/>
      <c r="N110" s="185"/>
    </row>
    <row r="111" spans="1:16">
      <c r="A111" s="1891"/>
      <c r="B111" s="1899"/>
      <c r="C111" s="110">
        <v>2016</v>
      </c>
      <c r="D111" s="38"/>
      <c r="E111" s="177"/>
      <c r="F111" s="178"/>
      <c r="G111" s="178"/>
      <c r="H111" s="178"/>
      <c r="I111" s="178"/>
      <c r="J111" s="178"/>
      <c r="K111" s="178"/>
      <c r="L111" s="179"/>
      <c r="M111" s="185"/>
      <c r="N111" s="185"/>
    </row>
    <row r="112" spans="1:16">
      <c r="A112" s="1891"/>
      <c r="B112" s="1899"/>
      <c r="C112" s="110">
        <v>2017</v>
      </c>
      <c r="D112" s="38"/>
      <c r="E112" s="177"/>
      <c r="F112" s="178"/>
      <c r="G112" s="178"/>
      <c r="H112" s="178"/>
      <c r="I112" s="178"/>
      <c r="J112" s="178"/>
      <c r="K112" s="178"/>
      <c r="L112" s="179"/>
      <c r="M112" s="185"/>
      <c r="N112" s="185"/>
    </row>
    <row r="113" spans="1:14">
      <c r="A113" s="1891"/>
      <c r="B113" s="1899"/>
      <c r="C113" s="110">
        <v>2018</v>
      </c>
      <c r="D113" s="38"/>
      <c r="E113" s="177"/>
      <c r="F113" s="178"/>
      <c r="G113" s="178"/>
      <c r="H113" s="178"/>
      <c r="I113" s="178"/>
      <c r="J113" s="178"/>
      <c r="K113" s="178"/>
      <c r="L113" s="179"/>
      <c r="M113" s="185"/>
      <c r="N113" s="185"/>
    </row>
    <row r="114" spans="1:14">
      <c r="A114" s="1891"/>
      <c r="B114" s="1899"/>
      <c r="C114" s="110">
        <v>2019</v>
      </c>
      <c r="D114" s="38"/>
      <c r="E114" s="177"/>
      <c r="F114" s="178"/>
      <c r="G114" s="178"/>
      <c r="H114" s="178"/>
      <c r="I114" s="178"/>
      <c r="J114" s="178"/>
      <c r="K114" s="178"/>
      <c r="L114" s="179"/>
      <c r="M114" s="185"/>
      <c r="N114" s="185"/>
    </row>
    <row r="115" spans="1:14">
      <c r="A115" s="1891"/>
      <c r="B115" s="1899"/>
      <c r="C115" s="110">
        <v>2020</v>
      </c>
      <c r="D115" s="38"/>
      <c r="E115" s="177"/>
      <c r="F115" s="178"/>
      <c r="G115" s="178"/>
      <c r="H115" s="178"/>
      <c r="I115" s="178"/>
      <c r="J115" s="178"/>
      <c r="K115" s="178"/>
      <c r="L115" s="179"/>
      <c r="M115" s="185"/>
      <c r="N115" s="185"/>
    </row>
    <row r="116" spans="1:14" ht="25.5" customHeight="1" thickBot="1">
      <c r="A116" s="1915"/>
      <c r="B116" s="1900"/>
      <c r="C116" s="113" t="s">
        <v>13</v>
      </c>
      <c r="D116" s="116">
        <f t="shared" ref="D116:I116" si="9">SUM(D109:D115)</f>
        <v>0</v>
      </c>
      <c r="E116" s="180">
        <f t="shared" si="9"/>
        <v>0</v>
      </c>
      <c r="F116" s="181">
        <f t="shared" si="9"/>
        <v>0</v>
      </c>
      <c r="G116" s="181">
        <f t="shared" si="9"/>
        <v>0</v>
      </c>
      <c r="H116" s="181">
        <f t="shared" si="9"/>
        <v>0</v>
      </c>
      <c r="I116" s="181">
        <f t="shared" si="9"/>
        <v>0</v>
      </c>
      <c r="J116" s="181"/>
      <c r="K116" s="181">
        <f>SUM(K109:K115)</f>
        <v>0</v>
      </c>
      <c r="L116" s="182">
        <f>SUM(L109:L115)</f>
        <v>0</v>
      </c>
      <c r="M116" s="185"/>
      <c r="N116" s="185"/>
    </row>
    <row r="117" spans="1:14" ht="25.5" customHeight="1" thickBot="1">
      <c r="A117" s="1507"/>
      <c r="B117" s="1508"/>
      <c r="C117" s="1509"/>
      <c r="D117" s="78"/>
      <c r="E117" s="165"/>
      <c r="F117" s="165"/>
      <c r="G117" s="165"/>
      <c r="H117" s="165"/>
      <c r="I117" s="165"/>
      <c r="J117" s="165"/>
      <c r="K117" s="165"/>
      <c r="L117" s="165"/>
      <c r="M117" s="185"/>
      <c r="N117" s="185"/>
    </row>
    <row r="118" spans="1:14" ht="15" customHeight="1">
      <c r="A118" s="2051" t="s">
        <v>81</v>
      </c>
      <c r="B118" s="2052" t="s">
        <v>179</v>
      </c>
      <c r="C118" s="2058" t="s">
        <v>9</v>
      </c>
      <c r="D118" s="1926" t="s">
        <v>82</v>
      </c>
      <c r="E118" s="162" t="s">
        <v>79</v>
      </c>
      <c r="F118" s="549"/>
      <c r="G118" s="549"/>
      <c r="H118" s="549"/>
      <c r="I118" s="549"/>
      <c r="J118" s="549"/>
      <c r="K118" s="549"/>
      <c r="L118" s="550"/>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1898"/>
      <c r="B120" s="1899"/>
      <c r="C120" s="106">
        <v>2014</v>
      </c>
      <c r="D120" s="31"/>
      <c r="E120" s="174"/>
      <c r="F120" s="175"/>
      <c r="G120" s="175"/>
      <c r="H120" s="175"/>
      <c r="I120" s="175"/>
      <c r="J120" s="175"/>
      <c r="K120" s="175"/>
      <c r="L120" s="176"/>
      <c r="M120" s="185"/>
      <c r="N120" s="185"/>
    </row>
    <row r="121" spans="1:14">
      <c r="A121" s="1891"/>
      <c r="B121" s="1899"/>
      <c r="C121" s="110">
        <v>2015</v>
      </c>
      <c r="D121" s="38"/>
      <c r="E121" s="177"/>
      <c r="F121" s="178"/>
      <c r="G121" s="178"/>
      <c r="H121" s="178"/>
      <c r="I121" s="178"/>
      <c r="J121" s="178"/>
      <c r="K121" s="178"/>
      <c r="L121" s="179"/>
      <c r="M121" s="185"/>
      <c r="N121" s="185"/>
    </row>
    <row r="122" spans="1:14">
      <c r="A122" s="1891"/>
      <c r="B122" s="1899"/>
      <c r="C122" s="110">
        <v>2016</v>
      </c>
      <c r="D122" s="38"/>
      <c r="E122" s="177"/>
      <c r="F122" s="178"/>
      <c r="G122" s="178"/>
      <c r="H122" s="178"/>
      <c r="I122" s="178"/>
      <c r="J122" s="178"/>
      <c r="K122" s="178"/>
      <c r="L122" s="179"/>
      <c r="M122" s="185"/>
      <c r="N122" s="185"/>
    </row>
    <row r="123" spans="1:14">
      <c r="A123" s="1891"/>
      <c r="B123" s="1899"/>
      <c r="C123" s="110">
        <v>2017</v>
      </c>
      <c r="D123" s="38"/>
      <c r="E123" s="177"/>
      <c r="F123" s="178"/>
      <c r="G123" s="178"/>
      <c r="H123" s="178"/>
      <c r="I123" s="178"/>
      <c r="J123" s="178"/>
      <c r="K123" s="178"/>
      <c r="L123" s="179"/>
      <c r="M123" s="185"/>
      <c r="N123" s="185"/>
    </row>
    <row r="124" spans="1:14">
      <c r="A124" s="1891"/>
      <c r="B124" s="1899"/>
      <c r="C124" s="110">
        <v>2018</v>
      </c>
      <c r="D124" s="38"/>
      <c r="E124" s="177"/>
      <c r="F124" s="178"/>
      <c r="G124" s="178"/>
      <c r="H124" s="178"/>
      <c r="I124" s="178"/>
      <c r="J124" s="178"/>
      <c r="K124" s="178"/>
      <c r="L124" s="179"/>
      <c r="M124" s="185"/>
      <c r="N124" s="185"/>
    </row>
    <row r="125" spans="1:14">
      <c r="A125" s="1891"/>
      <c r="B125" s="1899"/>
      <c r="C125" s="110">
        <v>2019</v>
      </c>
      <c r="D125" s="38"/>
      <c r="E125" s="177"/>
      <c r="F125" s="178"/>
      <c r="G125" s="178"/>
      <c r="H125" s="178"/>
      <c r="I125" s="178"/>
      <c r="J125" s="178"/>
      <c r="K125" s="178"/>
      <c r="L125" s="179"/>
      <c r="M125" s="185"/>
      <c r="N125" s="185"/>
    </row>
    <row r="126" spans="1:14">
      <c r="A126" s="1891"/>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051" t="s">
        <v>84</v>
      </c>
      <c r="B129" s="2052" t="s">
        <v>179</v>
      </c>
      <c r="C129" s="552" t="s">
        <v>9</v>
      </c>
      <c r="D129" s="189" t="s">
        <v>85</v>
      </c>
      <c r="E129" s="553"/>
      <c r="F129" s="553"/>
      <c r="G129" s="191"/>
      <c r="H129" s="185"/>
      <c r="I129" s="185"/>
      <c r="J129" s="185"/>
      <c r="K129" s="185"/>
      <c r="L129" s="185"/>
      <c r="M129" s="185"/>
      <c r="N129" s="185"/>
    </row>
    <row r="130" spans="1:16" ht="77.25" customHeight="1">
      <c r="A130" s="1910"/>
      <c r="B130" s="1912"/>
      <c r="C130" s="192"/>
      <c r="D130" s="166" t="s">
        <v>86</v>
      </c>
      <c r="E130" s="193" t="s">
        <v>87</v>
      </c>
      <c r="F130" s="167" t="s">
        <v>88</v>
      </c>
      <c r="G130" s="194" t="s">
        <v>13</v>
      </c>
      <c r="H130" s="185"/>
      <c r="I130" s="185"/>
      <c r="J130" s="185"/>
      <c r="K130" s="185"/>
      <c r="L130" s="185"/>
      <c r="M130" s="185"/>
      <c r="N130" s="185"/>
    </row>
    <row r="131" spans="1:16" ht="15" customHeight="1">
      <c r="A131" s="1874" t="s">
        <v>393</v>
      </c>
      <c r="B131" s="1855"/>
      <c r="C131" s="106">
        <v>2014</v>
      </c>
      <c r="D131" s="30"/>
      <c r="E131" s="31"/>
      <c r="F131" s="31"/>
      <c r="G131" s="195">
        <f t="shared" ref="G131:G137" si="11">SUM(D131:F131)</f>
        <v>0</v>
      </c>
      <c r="H131" s="185"/>
      <c r="I131" s="185"/>
      <c r="J131" s="185"/>
      <c r="K131" s="185"/>
      <c r="L131" s="185"/>
      <c r="M131" s="185"/>
      <c r="N131" s="185"/>
    </row>
    <row r="132" spans="1:16" ht="15" customHeight="1">
      <c r="A132" s="1874"/>
      <c r="B132" s="1855"/>
      <c r="C132" s="1510">
        <v>2015</v>
      </c>
      <c r="D132" s="395">
        <v>35</v>
      </c>
      <c r="E132" s="339"/>
      <c r="F132" s="339"/>
      <c r="G132" s="195">
        <v>35</v>
      </c>
      <c r="H132" s="185"/>
      <c r="I132" s="185"/>
      <c r="J132" s="185"/>
      <c r="K132" s="185"/>
      <c r="L132" s="185"/>
      <c r="M132" s="185"/>
      <c r="N132" s="185"/>
    </row>
    <row r="133" spans="1:16">
      <c r="A133" s="1854"/>
      <c r="B133" s="1855"/>
      <c r="C133" s="110">
        <v>2016</v>
      </c>
      <c r="D133" s="37">
        <v>91</v>
      </c>
      <c r="E133" s="38"/>
      <c r="F133" s="38"/>
      <c r="G133" s="195">
        <f t="shared" si="11"/>
        <v>91</v>
      </c>
      <c r="H133" s="185"/>
      <c r="I133" s="185"/>
      <c r="J133" s="185"/>
      <c r="K133" s="185"/>
      <c r="L133" s="185"/>
      <c r="M133" s="185"/>
      <c r="N133" s="185"/>
    </row>
    <row r="134" spans="1:16">
      <c r="A134" s="1854"/>
      <c r="B134" s="1855"/>
      <c r="C134" s="110">
        <v>2017</v>
      </c>
      <c r="D134" s="37">
        <v>126</v>
      </c>
      <c r="E134" s="38"/>
      <c r="F134" s="38"/>
      <c r="G134" s="195">
        <f t="shared" si="11"/>
        <v>126</v>
      </c>
      <c r="H134" s="185"/>
      <c r="I134" s="185"/>
      <c r="J134" s="185"/>
      <c r="K134" s="185"/>
      <c r="L134" s="185"/>
      <c r="M134" s="185"/>
      <c r="N134" s="185"/>
    </row>
    <row r="135" spans="1:16">
      <c r="A135" s="1854"/>
      <c r="B135" s="1855"/>
      <c r="C135" s="110">
        <v>2018</v>
      </c>
      <c r="D135" s="37"/>
      <c r="E135" s="38"/>
      <c r="F135" s="38"/>
      <c r="G135" s="195">
        <f t="shared" si="11"/>
        <v>0</v>
      </c>
      <c r="H135" s="185"/>
      <c r="I135" s="185"/>
      <c r="J135" s="185"/>
      <c r="K135" s="185"/>
      <c r="L135" s="185"/>
      <c r="M135" s="185"/>
      <c r="N135" s="185"/>
    </row>
    <row r="136" spans="1:16">
      <c r="A136" s="1854"/>
      <c r="B136" s="1855"/>
      <c r="C136" s="110">
        <v>2019</v>
      </c>
      <c r="D136" s="37"/>
      <c r="E136" s="38"/>
      <c r="F136" s="38"/>
      <c r="G136" s="195">
        <f t="shared" si="11"/>
        <v>0</v>
      </c>
      <c r="H136" s="185"/>
      <c r="I136" s="185"/>
      <c r="J136" s="185"/>
      <c r="K136" s="185"/>
      <c r="L136" s="185"/>
      <c r="M136" s="185"/>
      <c r="N136" s="185"/>
    </row>
    <row r="137" spans="1:16">
      <c r="A137" s="1854"/>
      <c r="B137" s="1855"/>
      <c r="C137" s="110">
        <v>2020</v>
      </c>
      <c r="D137" s="37"/>
      <c r="E137" s="38"/>
      <c r="F137" s="38"/>
      <c r="G137" s="195">
        <f t="shared" si="11"/>
        <v>0</v>
      </c>
      <c r="H137" s="185"/>
      <c r="I137" s="185"/>
      <c r="J137" s="185"/>
      <c r="K137" s="185"/>
      <c r="L137" s="185"/>
      <c r="M137" s="185"/>
      <c r="N137" s="185"/>
    </row>
    <row r="138" spans="1:16" ht="17.25" customHeight="1" thickBot="1">
      <c r="A138" s="1856"/>
      <c r="B138" s="1857"/>
      <c r="C138" s="113" t="s">
        <v>13</v>
      </c>
      <c r="D138" s="139">
        <f>SUM(D131:D137)</f>
        <v>252</v>
      </c>
      <c r="E138" s="139">
        <f t="shared" ref="E138:F138" si="12">SUM(E131:E137)</f>
        <v>0</v>
      </c>
      <c r="F138" s="139">
        <f t="shared" si="12"/>
        <v>0</v>
      </c>
      <c r="G138" s="196">
        <f>SUM(G131:G137)</f>
        <v>252</v>
      </c>
      <c r="H138" s="185"/>
      <c r="I138" s="185"/>
      <c r="J138" s="185"/>
      <c r="K138" s="185"/>
      <c r="L138" s="185"/>
      <c r="M138" s="185"/>
      <c r="N138" s="185"/>
    </row>
    <row r="139" spans="1:16">
      <c r="A139" s="183"/>
      <c r="B139" s="183"/>
      <c r="C139" s="184"/>
      <c r="D139" s="7"/>
      <c r="E139" s="7"/>
      <c r="H139" s="185"/>
      <c r="I139" s="185"/>
      <c r="J139" s="185"/>
      <c r="K139" s="185"/>
      <c r="L139" s="185"/>
      <c r="M139" s="185"/>
      <c r="N139" s="185"/>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050" t="s">
        <v>91</v>
      </c>
      <c r="B142" s="2048" t="s">
        <v>179</v>
      </c>
      <c r="C142" s="2043" t="s">
        <v>9</v>
      </c>
      <c r="D142" s="554" t="s">
        <v>92</v>
      </c>
      <c r="E142" s="555"/>
      <c r="F142" s="555"/>
      <c r="G142" s="555"/>
      <c r="H142" s="555"/>
      <c r="I142" s="556"/>
      <c r="J142" s="2044" t="s">
        <v>93</v>
      </c>
      <c r="K142" s="2045"/>
      <c r="L142" s="2045"/>
      <c r="M142" s="2045"/>
      <c r="N142" s="2046"/>
      <c r="O142" s="165"/>
      <c r="P142" s="165"/>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c r="B144" s="1899"/>
      <c r="C144" s="106">
        <v>2014</v>
      </c>
      <c r="D144" s="30"/>
      <c r="E144" s="30"/>
      <c r="F144" s="31"/>
      <c r="G144" s="175"/>
      <c r="H144" s="175"/>
      <c r="I144" s="213">
        <f>D144+F144+G144+H144</f>
        <v>0</v>
      </c>
      <c r="J144" s="214"/>
      <c r="K144" s="215"/>
      <c r="L144" s="214"/>
      <c r="M144" s="215"/>
      <c r="N144" s="216"/>
      <c r="O144" s="165"/>
      <c r="P144" s="165"/>
    </row>
    <row r="145" spans="1:16" ht="19.5" customHeight="1">
      <c r="A145" s="1891"/>
      <c r="B145" s="1899"/>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1891"/>
      <c r="B146" s="1899"/>
      <c r="C146" s="110">
        <v>2016</v>
      </c>
      <c r="D146" s="37"/>
      <c r="E146" s="37"/>
      <c r="F146" s="38"/>
      <c r="G146" s="178"/>
      <c r="H146" s="178"/>
      <c r="I146" s="213">
        <f t="shared" si="13"/>
        <v>0</v>
      </c>
      <c r="J146" s="217"/>
      <c r="K146" s="218"/>
      <c r="L146" s="217"/>
      <c r="M146" s="218"/>
      <c r="N146" s="219"/>
      <c r="O146" s="165"/>
      <c r="P146" s="165"/>
    </row>
    <row r="147" spans="1:16" ht="17.25" customHeight="1">
      <c r="A147" s="1891"/>
      <c r="B147" s="1899"/>
      <c r="C147" s="110">
        <v>2017</v>
      </c>
      <c r="D147" s="37"/>
      <c r="E147" s="37"/>
      <c r="F147" s="38"/>
      <c r="G147" s="178"/>
      <c r="H147" s="178"/>
      <c r="I147" s="213">
        <f t="shared" si="13"/>
        <v>0</v>
      </c>
      <c r="J147" s="217"/>
      <c r="K147" s="218"/>
      <c r="L147" s="217"/>
      <c r="M147" s="218"/>
      <c r="N147" s="219"/>
      <c r="O147" s="165"/>
      <c r="P147" s="165"/>
    </row>
    <row r="148" spans="1:16" ht="19.5" customHeight="1">
      <c r="A148" s="1891"/>
      <c r="B148" s="1899"/>
      <c r="C148" s="110">
        <v>2018</v>
      </c>
      <c r="D148" s="37"/>
      <c r="E148" s="37"/>
      <c r="F148" s="38"/>
      <c r="G148" s="178"/>
      <c r="H148" s="178"/>
      <c r="I148" s="213">
        <f t="shared" si="13"/>
        <v>0</v>
      </c>
      <c r="J148" s="217"/>
      <c r="K148" s="218"/>
      <c r="L148" s="217"/>
      <c r="M148" s="218"/>
      <c r="N148" s="219"/>
      <c r="O148" s="165"/>
      <c r="P148" s="165"/>
    </row>
    <row r="149" spans="1:16" ht="19.5" customHeight="1">
      <c r="A149" s="1891"/>
      <c r="B149" s="1899"/>
      <c r="C149" s="110">
        <v>2019</v>
      </c>
      <c r="D149" s="37"/>
      <c r="E149" s="37"/>
      <c r="F149" s="38"/>
      <c r="G149" s="178"/>
      <c r="H149" s="178"/>
      <c r="I149" s="213">
        <f t="shared" si="13"/>
        <v>0</v>
      </c>
      <c r="J149" s="217"/>
      <c r="K149" s="218"/>
      <c r="L149" s="217"/>
      <c r="M149" s="218"/>
      <c r="N149" s="219"/>
      <c r="O149" s="165"/>
      <c r="P149" s="165"/>
    </row>
    <row r="150" spans="1:16" ht="18.75" customHeight="1">
      <c r="A150" s="1891"/>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2047" t="s">
        <v>105</v>
      </c>
      <c r="B153" s="2048" t="s">
        <v>179</v>
      </c>
      <c r="C153" s="2049" t="s">
        <v>9</v>
      </c>
      <c r="D153" s="557" t="s">
        <v>106</v>
      </c>
      <c r="E153" s="557"/>
      <c r="F153" s="558"/>
      <c r="G153" s="558"/>
      <c r="H153" s="557" t="s">
        <v>107</v>
      </c>
      <c r="I153" s="557"/>
      <c r="J153" s="559"/>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1898"/>
      <c r="B155" s="1899"/>
      <c r="C155" s="233">
        <v>2014</v>
      </c>
      <c r="D155" s="214"/>
      <c r="E155" s="175"/>
      <c r="F155" s="215"/>
      <c r="G155" s="213">
        <f>SUM(D155:F155)</f>
        <v>0</v>
      </c>
      <c r="H155" s="214"/>
      <c r="I155" s="175"/>
      <c r="J155" s="176"/>
      <c r="O155" s="165"/>
      <c r="P155" s="165"/>
    </row>
    <row r="156" spans="1:16" ht="19.5" customHeight="1">
      <c r="A156" s="1891"/>
      <c r="B156" s="1899"/>
      <c r="C156" s="234">
        <v>2015</v>
      </c>
      <c r="D156" s="217"/>
      <c r="E156" s="178"/>
      <c r="F156" s="218"/>
      <c r="G156" s="213">
        <f t="shared" ref="G156:G161" si="15">SUM(D156:F156)</f>
        <v>0</v>
      </c>
      <c r="H156" s="217"/>
      <c r="I156" s="178"/>
      <c r="J156" s="179"/>
      <c r="O156" s="165"/>
      <c r="P156" s="165"/>
    </row>
    <row r="157" spans="1:16" ht="17.25" customHeight="1">
      <c r="A157" s="1891"/>
      <c r="B157" s="1899"/>
      <c r="C157" s="234">
        <v>2016</v>
      </c>
      <c r="D157" s="217"/>
      <c r="E157" s="178"/>
      <c r="F157" s="218"/>
      <c r="G157" s="213">
        <f t="shared" si="15"/>
        <v>0</v>
      </c>
      <c r="H157" s="217"/>
      <c r="I157" s="178"/>
      <c r="J157" s="179"/>
      <c r="O157" s="165"/>
      <c r="P157" s="165"/>
    </row>
    <row r="158" spans="1:16" ht="15" customHeight="1">
      <c r="A158" s="1891"/>
      <c r="B158" s="1899"/>
      <c r="C158" s="234">
        <v>2017</v>
      </c>
      <c r="D158" s="217"/>
      <c r="E158" s="178"/>
      <c r="F158" s="218"/>
      <c r="G158" s="213">
        <f t="shared" si="15"/>
        <v>0</v>
      </c>
      <c r="H158" s="217"/>
      <c r="I158" s="178"/>
      <c r="J158" s="179"/>
      <c r="O158" s="165"/>
      <c r="P158" s="165"/>
    </row>
    <row r="159" spans="1:16" ht="19.5" customHeight="1">
      <c r="A159" s="1891"/>
      <c r="B159" s="1899"/>
      <c r="C159" s="234">
        <v>2018</v>
      </c>
      <c r="D159" s="217"/>
      <c r="E159" s="178"/>
      <c r="F159" s="218"/>
      <c r="G159" s="213">
        <f t="shared" si="15"/>
        <v>0</v>
      </c>
      <c r="H159" s="217"/>
      <c r="I159" s="178"/>
      <c r="J159" s="179"/>
      <c r="O159" s="165"/>
      <c r="P159" s="165"/>
    </row>
    <row r="160" spans="1:16" ht="15" customHeight="1">
      <c r="A160" s="1891"/>
      <c r="B160" s="1899"/>
      <c r="C160" s="234">
        <v>2019</v>
      </c>
      <c r="D160" s="217"/>
      <c r="E160" s="178"/>
      <c r="F160" s="218"/>
      <c r="G160" s="213">
        <f t="shared" si="15"/>
        <v>0</v>
      </c>
      <c r="H160" s="217"/>
      <c r="I160" s="178"/>
      <c r="J160" s="179"/>
      <c r="O160" s="165"/>
      <c r="P160" s="165"/>
    </row>
    <row r="161" spans="1:18" ht="17.25" customHeight="1">
      <c r="A161" s="1891"/>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560"/>
      <c r="F163" s="165"/>
      <c r="G163" s="165"/>
      <c r="H163" s="165"/>
      <c r="I163" s="165"/>
      <c r="J163" s="241"/>
      <c r="K163" s="242"/>
    </row>
    <row r="164" spans="1:18" ht="95.25" customHeight="1">
      <c r="A164" s="243" t="s">
        <v>115</v>
      </c>
      <c r="B164" s="405" t="s">
        <v>181</v>
      </c>
      <c r="C164" s="245" t="s">
        <v>9</v>
      </c>
      <c r="D164" s="246" t="s">
        <v>117</v>
      </c>
      <c r="E164" s="246" t="s">
        <v>118</v>
      </c>
      <c r="F164" s="561" t="s">
        <v>119</v>
      </c>
      <c r="G164" s="246" t="s">
        <v>120</v>
      </c>
      <c r="H164" s="246" t="s">
        <v>121</v>
      </c>
      <c r="I164" s="248" t="s">
        <v>122</v>
      </c>
      <c r="J164" s="249" t="s">
        <v>123</v>
      </c>
      <c r="K164" s="249" t="s">
        <v>124</v>
      </c>
      <c r="L164" s="406"/>
    </row>
    <row r="165" spans="1:18" ht="15.75" customHeight="1">
      <c r="A165" s="1878"/>
      <c r="B165" s="1879"/>
      <c r="C165" s="251">
        <v>2014</v>
      </c>
      <c r="D165" s="175"/>
      <c r="E165" s="175"/>
      <c r="F165" s="175"/>
      <c r="G165" s="175"/>
      <c r="H165" s="175"/>
      <c r="I165" s="176"/>
      <c r="J165" s="252">
        <f>SUM(D165,F165,H165)</f>
        <v>0</v>
      </c>
      <c r="K165" s="253">
        <f>SUM(E165,G165,I165)</f>
        <v>0</v>
      </c>
      <c r="L165" s="406"/>
    </row>
    <row r="166" spans="1:18">
      <c r="A166" s="1880"/>
      <c r="B166" s="1881"/>
      <c r="C166" s="254">
        <v>2015</v>
      </c>
      <c r="D166" s="255"/>
      <c r="E166" s="255"/>
      <c r="F166" s="255"/>
      <c r="G166" s="255"/>
      <c r="H166" s="255"/>
      <c r="I166" s="256"/>
      <c r="J166" s="407">
        <f t="shared" ref="J166:K171" si="17">SUM(D166,F166,H166)</f>
        <v>0</v>
      </c>
      <c r="K166" s="408">
        <f t="shared" si="17"/>
        <v>0</v>
      </c>
      <c r="L166" s="406"/>
    </row>
    <row r="167" spans="1:18">
      <c r="A167" s="1880"/>
      <c r="B167" s="1881"/>
      <c r="C167" s="254">
        <v>2016</v>
      </c>
      <c r="D167" s="255"/>
      <c r="E167" s="255"/>
      <c r="F167" s="255"/>
      <c r="G167" s="255"/>
      <c r="H167" s="255"/>
      <c r="I167" s="256"/>
      <c r="J167" s="407">
        <f t="shared" si="17"/>
        <v>0</v>
      </c>
      <c r="K167" s="408">
        <f t="shared" si="17"/>
        <v>0</v>
      </c>
    </row>
    <row r="168" spans="1:18">
      <c r="A168" s="1880"/>
      <c r="B168" s="1881"/>
      <c r="C168" s="254">
        <v>2017</v>
      </c>
      <c r="D168" s="255"/>
      <c r="E168" s="165"/>
      <c r="F168" s="255"/>
      <c r="G168" s="255"/>
      <c r="H168" s="255"/>
      <c r="I168" s="256"/>
      <c r="J168" s="407">
        <f t="shared" si="17"/>
        <v>0</v>
      </c>
      <c r="K168" s="408">
        <f t="shared" si="17"/>
        <v>0</v>
      </c>
    </row>
    <row r="169" spans="1:18">
      <c r="A169" s="1880"/>
      <c r="B169" s="1881"/>
      <c r="C169" s="262">
        <v>2018</v>
      </c>
      <c r="D169" s="255"/>
      <c r="E169" s="255"/>
      <c r="F169" s="255"/>
      <c r="G169" s="263"/>
      <c r="H169" s="255"/>
      <c r="I169" s="256"/>
      <c r="J169" s="407">
        <f t="shared" si="17"/>
        <v>0</v>
      </c>
      <c r="K169" s="408">
        <f t="shared" si="17"/>
        <v>0</v>
      </c>
      <c r="L169" s="406"/>
    </row>
    <row r="170" spans="1:18">
      <c r="A170" s="1880"/>
      <c r="B170" s="1881"/>
      <c r="C170" s="254">
        <v>2019</v>
      </c>
      <c r="D170" s="165"/>
      <c r="E170" s="255"/>
      <c r="F170" s="255"/>
      <c r="G170" s="255"/>
      <c r="H170" s="263"/>
      <c r="I170" s="256"/>
      <c r="J170" s="407">
        <f t="shared" si="17"/>
        <v>0</v>
      </c>
      <c r="K170" s="408">
        <f t="shared" si="17"/>
        <v>0</v>
      </c>
      <c r="L170" s="406"/>
    </row>
    <row r="171" spans="1:18">
      <c r="A171" s="1880"/>
      <c r="B171" s="1881"/>
      <c r="C171" s="262">
        <v>2020</v>
      </c>
      <c r="D171" s="255"/>
      <c r="E171" s="255"/>
      <c r="F171" s="255"/>
      <c r="G171" s="255"/>
      <c r="H171" s="255"/>
      <c r="I171" s="256"/>
      <c r="J171" s="407">
        <f t="shared" si="17"/>
        <v>0</v>
      </c>
      <c r="K171" s="408">
        <f t="shared" si="17"/>
        <v>0</v>
      </c>
      <c r="L171" s="406"/>
    </row>
    <row r="172" spans="1:18" ht="41.25" customHeight="1" thickBot="1">
      <c r="A172" s="1882"/>
      <c r="B172" s="1883"/>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406"/>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039" t="s">
        <v>127</v>
      </c>
      <c r="B176" s="2037" t="s">
        <v>182</v>
      </c>
      <c r="C176" s="2040" t="s">
        <v>9</v>
      </c>
      <c r="D176" s="273" t="s">
        <v>128</v>
      </c>
      <c r="E176" s="562"/>
      <c r="F176" s="562"/>
      <c r="G176" s="563"/>
      <c r="H176" s="276"/>
      <c r="I176" s="1888" t="s">
        <v>129</v>
      </c>
      <c r="J176" s="2041"/>
      <c r="K176" s="2041"/>
      <c r="L176" s="2041"/>
      <c r="M176" s="2041"/>
      <c r="N176" s="2041"/>
      <c r="O176" s="2042"/>
    </row>
    <row r="177" spans="1:15" s="56" customFormat="1" ht="129.7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1898" t="s">
        <v>394</v>
      </c>
      <c r="B178" s="1899"/>
      <c r="C178" s="106">
        <v>2014</v>
      </c>
      <c r="D178" s="30"/>
      <c r="E178" s="31"/>
      <c r="F178" s="31"/>
      <c r="G178" s="284">
        <f>SUM(D178:F178)</f>
        <v>0</v>
      </c>
      <c r="H178" s="155"/>
      <c r="I178" s="155"/>
      <c r="J178" s="31"/>
      <c r="K178" s="31"/>
      <c r="L178" s="31"/>
      <c r="M178" s="31"/>
      <c r="N178" s="31"/>
      <c r="O178" s="34"/>
    </row>
    <row r="179" spans="1:15">
      <c r="A179" s="1891"/>
      <c r="B179" s="1899"/>
      <c r="C179" s="110">
        <v>2015</v>
      </c>
      <c r="D179" s="37">
        <v>9</v>
      </c>
      <c r="E179" s="38"/>
      <c r="F179" s="38"/>
      <c r="G179" s="284">
        <f t="shared" ref="G179:G184" si="19">SUM(D179:F179)</f>
        <v>9</v>
      </c>
      <c r="H179" s="411"/>
      <c r="I179" s="112"/>
      <c r="J179" s="38"/>
      <c r="K179" s="38"/>
      <c r="L179" s="38">
        <v>6</v>
      </c>
      <c r="M179" s="38">
        <v>3</v>
      </c>
      <c r="N179" s="38"/>
      <c r="O179" s="88"/>
    </row>
    <row r="180" spans="1:15">
      <c r="A180" s="1891"/>
      <c r="B180" s="1899"/>
      <c r="C180" s="110">
        <v>2016</v>
      </c>
      <c r="D180" s="217">
        <f>52+2</f>
        <v>54</v>
      </c>
      <c r="E180" s="178">
        <v>3</v>
      </c>
      <c r="F180" s="178"/>
      <c r="G180" s="213">
        <f t="shared" si="19"/>
        <v>57</v>
      </c>
      <c r="H180" s="412">
        <v>66</v>
      </c>
      <c r="I180" s="177"/>
      <c r="J180" s="178"/>
      <c r="K180" s="178"/>
      <c r="L180" s="178">
        <f>30+2</f>
        <v>32</v>
      </c>
      <c r="M180" s="178">
        <v>19</v>
      </c>
      <c r="N180" s="178"/>
      <c r="O180" s="179">
        <v>6</v>
      </c>
    </row>
    <row r="181" spans="1:15">
      <c r="A181" s="1891"/>
      <c r="B181" s="1899"/>
      <c r="C181" s="110">
        <v>2017</v>
      </c>
      <c r="D181" s="37">
        <v>22</v>
      </c>
      <c r="E181" s="38">
        <v>8</v>
      </c>
      <c r="F181" s="38"/>
      <c r="G181" s="213">
        <f t="shared" si="19"/>
        <v>30</v>
      </c>
      <c r="H181" s="411">
        <v>39</v>
      </c>
      <c r="I181" s="112">
        <v>2</v>
      </c>
      <c r="J181" s="38">
        <f>3+5</f>
        <v>8</v>
      </c>
      <c r="K181" s="38"/>
      <c r="L181" s="38">
        <v>14</v>
      </c>
      <c r="M181" s="38">
        <v>6</v>
      </c>
      <c r="N181" s="38"/>
      <c r="O181" s="88"/>
    </row>
    <row r="182" spans="1:15">
      <c r="A182" s="1891"/>
      <c r="B182" s="1899"/>
      <c r="C182" s="110">
        <v>2018</v>
      </c>
      <c r="D182" s="37"/>
      <c r="E182" s="38"/>
      <c r="F182" s="38"/>
      <c r="G182" s="284">
        <f t="shared" si="19"/>
        <v>0</v>
      </c>
      <c r="H182" s="411"/>
      <c r="I182" s="112"/>
      <c r="J182" s="38"/>
      <c r="K182" s="38"/>
      <c r="L182" s="38"/>
      <c r="M182" s="38"/>
      <c r="N182" s="38"/>
      <c r="O182" s="88"/>
    </row>
    <row r="183" spans="1:15">
      <c r="A183" s="1891"/>
      <c r="B183" s="1899"/>
      <c r="C183" s="110">
        <v>2019</v>
      </c>
      <c r="D183" s="37"/>
      <c r="E183" s="38"/>
      <c r="F183" s="38"/>
      <c r="G183" s="284">
        <f t="shared" si="19"/>
        <v>0</v>
      </c>
      <c r="H183" s="411"/>
      <c r="I183" s="112"/>
      <c r="J183" s="38"/>
      <c r="K183" s="38"/>
      <c r="L183" s="38"/>
      <c r="M183" s="38"/>
      <c r="N183" s="38"/>
      <c r="O183" s="88"/>
    </row>
    <row r="184" spans="1:15">
      <c r="A184" s="1891"/>
      <c r="B184" s="1899"/>
      <c r="C184" s="110">
        <v>2020</v>
      </c>
      <c r="D184" s="37"/>
      <c r="E184" s="38"/>
      <c r="F184" s="38"/>
      <c r="G184" s="284">
        <f t="shared" si="19"/>
        <v>0</v>
      </c>
      <c r="H184" s="411"/>
      <c r="I184" s="112"/>
      <c r="J184" s="38"/>
      <c r="K184" s="38"/>
      <c r="L184" s="38"/>
      <c r="M184" s="38"/>
      <c r="N184" s="38"/>
      <c r="O184" s="88"/>
    </row>
    <row r="185" spans="1:15" ht="45" customHeight="1" thickBot="1">
      <c r="A185" s="1893"/>
      <c r="B185" s="1900"/>
      <c r="C185" s="113" t="s">
        <v>13</v>
      </c>
      <c r="D185" s="139">
        <f>SUM(D178:D184)</f>
        <v>85</v>
      </c>
      <c r="E185" s="116">
        <f>SUM(E178:E184)</f>
        <v>11</v>
      </c>
      <c r="F185" s="116">
        <f>SUM(F178:F184)</f>
        <v>0</v>
      </c>
      <c r="G185" s="220">
        <f t="shared" ref="G185:O185" si="20">SUM(G178:G184)</f>
        <v>96</v>
      </c>
      <c r="H185" s="285">
        <f t="shared" si="20"/>
        <v>105</v>
      </c>
      <c r="I185" s="115">
        <f t="shared" si="20"/>
        <v>2</v>
      </c>
      <c r="J185" s="116">
        <f t="shared" si="20"/>
        <v>8</v>
      </c>
      <c r="K185" s="116">
        <f t="shared" si="20"/>
        <v>0</v>
      </c>
      <c r="L185" s="116">
        <f t="shared" si="20"/>
        <v>52</v>
      </c>
      <c r="M185" s="116">
        <f t="shared" si="20"/>
        <v>28</v>
      </c>
      <c r="N185" s="116">
        <f t="shared" si="20"/>
        <v>0</v>
      </c>
      <c r="O185" s="117">
        <f t="shared" si="20"/>
        <v>6</v>
      </c>
    </row>
    <row r="186" spans="1:15" ht="33" customHeight="1" thickBot="1"/>
    <row r="187" spans="1:15" ht="19.5" customHeight="1">
      <c r="A187" s="1861" t="s">
        <v>137</v>
      </c>
      <c r="B187" s="2037" t="s">
        <v>182</v>
      </c>
      <c r="C187" s="1865" t="s">
        <v>9</v>
      </c>
      <c r="D187" s="1867" t="s">
        <v>138</v>
      </c>
      <c r="E187" s="2038"/>
      <c r="F187" s="2038"/>
      <c r="G187" s="1869"/>
      <c r="H187" s="1870"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1872" t="s">
        <v>395</v>
      </c>
      <c r="B189" s="1977"/>
      <c r="C189" s="290">
        <v>2014</v>
      </c>
      <c r="D189" s="133"/>
      <c r="E189" s="109"/>
      <c r="F189" s="109"/>
      <c r="G189" s="291">
        <f>SUM(D189:F189)</f>
        <v>0</v>
      </c>
      <c r="H189" s="108"/>
      <c r="I189" s="109"/>
      <c r="J189" s="109"/>
      <c r="K189" s="109"/>
      <c r="L189" s="134"/>
    </row>
    <row r="190" spans="1:15">
      <c r="A190" s="1978"/>
      <c r="B190" s="1855"/>
      <c r="C190" s="73">
        <v>2015</v>
      </c>
      <c r="D190" s="37">
        <v>539</v>
      </c>
      <c r="E190" s="38"/>
      <c r="F190" s="38"/>
      <c r="G190" s="291">
        <f t="shared" ref="G190:G195" si="21">SUM(D190:F190)</f>
        <v>539</v>
      </c>
      <c r="H190" s="112"/>
      <c r="I190" s="38"/>
      <c r="J190" s="38"/>
      <c r="K190" s="38"/>
      <c r="L190" s="88">
        <f>G190</f>
        <v>539</v>
      </c>
    </row>
    <row r="191" spans="1:15">
      <c r="A191" s="1978"/>
      <c r="B191" s="1855"/>
      <c r="C191" s="73">
        <v>2016</v>
      </c>
      <c r="D191" s="37">
        <f>5299+100+56</f>
        <v>5455</v>
      </c>
      <c r="E191" s="38">
        <v>56</v>
      </c>
      <c r="F191" s="38"/>
      <c r="G191" s="291">
        <f t="shared" si="21"/>
        <v>5511</v>
      </c>
      <c r="H191" s="112"/>
      <c r="I191" s="38"/>
      <c r="J191" s="38"/>
      <c r="K191" s="38"/>
      <c r="L191" s="88">
        <f>G191</f>
        <v>5511</v>
      </c>
    </row>
    <row r="192" spans="1:15">
      <c r="A192" s="1978"/>
      <c r="B192" s="1855"/>
      <c r="C192" s="73">
        <v>2017</v>
      </c>
      <c r="D192">
        <v>1199</v>
      </c>
      <c r="E192" s="38">
        <f>247+35+22+6+3</f>
        <v>313</v>
      </c>
      <c r="F192" s="38"/>
      <c r="G192" s="291">
        <f t="shared" si="21"/>
        <v>1512</v>
      </c>
      <c r="H192" s="112"/>
      <c r="I192" s="38">
        <f>64+19+6</f>
        <v>89</v>
      </c>
      <c r="J192" s="38"/>
      <c r="K192" s="38">
        <f>170+226+100+767+35+3</f>
        <v>1301</v>
      </c>
      <c r="L192" s="36">
        <f>119+3</f>
        <v>122</v>
      </c>
    </row>
    <row r="193" spans="1:14">
      <c r="A193" s="1978"/>
      <c r="B193" s="1855"/>
      <c r="C193" s="73">
        <v>2018</v>
      </c>
      <c r="D193" s="37"/>
      <c r="E193" s="38"/>
      <c r="F193" s="38"/>
      <c r="G193" s="291">
        <f t="shared" si="21"/>
        <v>0</v>
      </c>
      <c r="H193" s="112"/>
      <c r="I193" s="38"/>
      <c r="J193" s="38"/>
      <c r="K193" s="38"/>
      <c r="L193" s="88"/>
    </row>
    <row r="194" spans="1:14">
      <c r="A194" s="1978"/>
      <c r="B194" s="1855"/>
      <c r="C194" s="73">
        <v>2019</v>
      </c>
      <c r="D194" s="37"/>
      <c r="E194" s="38"/>
      <c r="F194" s="38"/>
      <c r="G194" s="291">
        <f t="shared" si="21"/>
        <v>0</v>
      </c>
      <c r="H194" s="112"/>
      <c r="I194" s="38"/>
      <c r="J194" s="38"/>
      <c r="K194" s="38"/>
      <c r="L194" s="88"/>
    </row>
    <row r="195" spans="1:14">
      <c r="A195" s="1978"/>
      <c r="B195" s="1855"/>
      <c r="C195" s="73">
        <v>2020</v>
      </c>
      <c r="D195" s="37"/>
      <c r="E195" s="38"/>
      <c r="F195" s="38"/>
      <c r="G195" s="291">
        <f t="shared" si="21"/>
        <v>0</v>
      </c>
      <c r="H195" s="112"/>
      <c r="I195" s="38"/>
      <c r="J195" s="38"/>
      <c r="K195" s="38"/>
      <c r="L195" s="88"/>
    </row>
    <row r="196" spans="1:14" ht="15.75" thickBot="1">
      <c r="A196" s="1979"/>
      <c r="B196" s="1857"/>
      <c r="C196" s="136" t="s">
        <v>13</v>
      </c>
      <c r="D196" s="139">
        <f t="shared" ref="D196:L196" si="22">SUM(D189:D195)</f>
        <v>7193</v>
      </c>
      <c r="E196" s="116">
        <f t="shared" si="22"/>
        <v>369</v>
      </c>
      <c r="F196" s="116">
        <f t="shared" si="22"/>
        <v>0</v>
      </c>
      <c r="G196" s="292">
        <f t="shared" si="22"/>
        <v>7562</v>
      </c>
      <c r="H196" s="115">
        <f t="shared" si="22"/>
        <v>0</v>
      </c>
      <c r="I196" s="116">
        <f t="shared" si="22"/>
        <v>89</v>
      </c>
      <c r="J196" s="116">
        <f t="shared" si="22"/>
        <v>0</v>
      </c>
      <c r="K196" s="116">
        <f t="shared" si="22"/>
        <v>1301</v>
      </c>
      <c r="L196" s="117">
        <f t="shared" si="22"/>
        <v>6172</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569" t="s">
        <v>150</v>
      </c>
      <c r="B201" s="417" t="s">
        <v>182</v>
      </c>
      <c r="C201" s="298" t="s">
        <v>9</v>
      </c>
      <c r="D201" s="299" t="s">
        <v>151</v>
      </c>
      <c r="E201" s="300" t="s">
        <v>152</v>
      </c>
      <c r="F201" s="300" t="s">
        <v>153</v>
      </c>
      <c r="G201" s="298" t="s">
        <v>154</v>
      </c>
      <c r="H201" s="570" t="s">
        <v>155</v>
      </c>
      <c r="I201" s="302" t="s">
        <v>156</v>
      </c>
      <c r="J201" s="303" t="s">
        <v>157</v>
      </c>
      <c r="K201" s="300" t="s">
        <v>158</v>
      </c>
      <c r="L201" s="304" t="s">
        <v>159</v>
      </c>
    </row>
    <row r="202" spans="1:14" ht="15" customHeight="1">
      <c r="A202" s="1854"/>
      <c r="B202" s="1855"/>
      <c r="C202" s="72">
        <v>2014</v>
      </c>
      <c r="D202" s="30"/>
      <c r="E202" s="31"/>
      <c r="F202" s="31"/>
      <c r="G202" s="29"/>
      <c r="H202" s="305"/>
      <c r="I202" s="306"/>
      <c r="J202" s="307"/>
      <c r="K202" s="31"/>
      <c r="L202" s="34"/>
    </row>
    <row r="203" spans="1:14">
      <c r="A203" s="1854"/>
      <c r="B203" s="1855"/>
      <c r="C203" s="73">
        <v>2015</v>
      </c>
      <c r="D203" s="37"/>
      <c r="E203" s="38"/>
      <c r="F203" s="38"/>
      <c r="G203" s="36"/>
      <c r="H203" s="308"/>
      <c r="I203" s="309"/>
      <c r="J203" s="310"/>
      <c r="K203" s="38"/>
      <c r="L203" s="88"/>
    </row>
    <row r="204" spans="1:14">
      <c r="A204" s="1854"/>
      <c r="B204" s="1855"/>
      <c r="C204" s="73">
        <v>2016</v>
      </c>
      <c r="D204" s="37"/>
      <c r="E204" s="38"/>
      <c r="F204" s="38"/>
      <c r="G204" s="36"/>
      <c r="H204" s="308"/>
      <c r="I204" s="309"/>
      <c r="J204" s="310"/>
      <c r="K204" s="38"/>
      <c r="L204" s="88"/>
    </row>
    <row r="205" spans="1:14">
      <c r="A205" s="1854"/>
      <c r="B205" s="1855"/>
      <c r="C205" s="73">
        <v>2017</v>
      </c>
      <c r="D205" s="37"/>
      <c r="E205" s="38"/>
      <c r="F205" s="38"/>
      <c r="G205" s="36"/>
      <c r="H205" s="308"/>
      <c r="I205" s="309"/>
      <c r="J205" s="310"/>
      <c r="K205" s="38"/>
      <c r="L205" s="88"/>
    </row>
    <row r="206" spans="1:14">
      <c r="A206" s="1854"/>
      <c r="B206" s="1855"/>
      <c r="C206" s="73">
        <v>2018</v>
      </c>
      <c r="D206" s="37"/>
      <c r="E206" s="38"/>
      <c r="F206" s="38"/>
      <c r="G206" s="36"/>
      <c r="H206" s="308"/>
      <c r="I206" s="309"/>
      <c r="J206" s="310"/>
      <c r="K206" s="38"/>
      <c r="L206" s="88"/>
    </row>
    <row r="207" spans="1:14">
      <c r="A207" s="1854"/>
      <c r="B207" s="1855"/>
      <c r="C207" s="73">
        <v>2019</v>
      </c>
      <c r="D207" s="37"/>
      <c r="E207" s="38"/>
      <c r="F207" s="38"/>
      <c r="G207" s="36"/>
      <c r="H207" s="308"/>
      <c r="I207" s="309"/>
      <c r="J207" s="310"/>
      <c r="K207" s="38"/>
      <c r="L207" s="88"/>
    </row>
    <row r="208" spans="1:14">
      <c r="A208" s="1854"/>
      <c r="B208" s="1855"/>
      <c r="C208" s="73">
        <v>2020</v>
      </c>
      <c r="D208" s="311"/>
      <c r="E208" s="312"/>
      <c r="F208" s="312"/>
      <c r="G208" s="313"/>
      <c r="H208" s="314"/>
      <c r="I208" s="315"/>
      <c r="J208" s="316"/>
      <c r="K208" s="312"/>
      <c r="L208" s="317"/>
    </row>
    <row r="209" spans="1:12" ht="20.25" customHeight="1" thickBot="1">
      <c r="A209" s="1856"/>
      <c r="B209" s="1857"/>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0</v>
      </c>
      <c r="K209" s="139">
        <f t="shared" si="23"/>
        <v>0</v>
      </c>
      <c r="L209" s="139">
        <f t="shared" si="23"/>
        <v>0</v>
      </c>
    </row>
    <row r="211" spans="1:12" ht="15.75" thickBot="1"/>
    <row r="212" spans="1:12" ht="29.25">
      <c r="A212" s="571" t="s">
        <v>161</v>
      </c>
      <c r="B212" s="322" t="s">
        <v>162</v>
      </c>
      <c r="C212" s="323">
        <v>2014</v>
      </c>
      <c r="D212" s="1511">
        <v>2015</v>
      </c>
      <c r="E212" s="1511">
        <v>2016</v>
      </c>
      <c r="F212" s="1511">
        <v>2017</v>
      </c>
      <c r="G212" s="1511">
        <v>2018</v>
      </c>
      <c r="H212" s="1511">
        <v>2019</v>
      </c>
      <c r="I212" s="1512">
        <v>2020</v>
      </c>
    </row>
    <row r="213" spans="1:12" ht="15" customHeight="1">
      <c r="A213" t="s">
        <v>163</v>
      </c>
      <c r="B213" s="2430" t="s">
        <v>396</v>
      </c>
      <c r="C213" s="72"/>
      <c r="D213" s="1513">
        <v>287632.87999999995</v>
      </c>
      <c r="E213" s="1514">
        <v>1271639.1299999999</v>
      </c>
      <c r="F213" s="1514">
        <v>703777.2</v>
      </c>
      <c r="G213" s="1187"/>
      <c r="H213" s="1187"/>
      <c r="I213" s="1187"/>
    </row>
    <row r="214" spans="1:12">
      <c r="A214" t="s">
        <v>164</v>
      </c>
      <c r="B214" s="1974"/>
      <c r="C214" s="72"/>
      <c r="D214" s="1515">
        <v>242061.65999999997</v>
      </c>
      <c r="E214" s="1516">
        <v>1135530.4099999999</v>
      </c>
      <c r="F214" s="1517">
        <v>599678.17000000004</v>
      </c>
      <c r="G214" s="1187"/>
      <c r="H214" s="1187"/>
      <c r="I214" s="1187"/>
    </row>
    <row r="215" spans="1:12">
      <c r="A215" t="s">
        <v>165</v>
      </c>
      <c r="B215" s="1974"/>
      <c r="C215" s="72"/>
      <c r="D215" s="1518">
        <v>0</v>
      </c>
      <c r="E215" s="1517">
        <v>615</v>
      </c>
      <c r="F215" s="1517">
        <v>4229.97</v>
      </c>
      <c r="G215" s="1187"/>
      <c r="H215" s="1187"/>
      <c r="I215" s="1187"/>
    </row>
    <row r="216" spans="1:12">
      <c r="A216" t="s">
        <v>166</v>
      </c>
      <c r="B216" s="1974"/>
      <c r="C216" s="72"/>
      <c r="D216" s="1518">
        <v>18300</v>
      </c>
      <c r="E216" s="1517">
        <v>99465.06</v>
      </c>
      <c r="F216" s="1517">
        <v>74714.06</v>
      </c>
      <c r="G216" s="1187"/>
      <c r="H216" s="1187"/>
      <c r="I216" s="1187"/>
    </row>
    <row r="217" spans="1:12">
      <c r="A217" t="s">
        <v>167</v>
      </c>
      <c r="B217" s="1974"/>
      <c r="C217" s="72"/>
      <c r="D217" s="1518">
        <v>27271.22</v>
      </c>
      <c r="E217" s="1517">
        <v>36028.660000000003</v>
      </c>
      <c r="F217" s="1517">
        <v>25155</v>
      </c>
      <c r="G217" s="1187"/>
      <c r="H217" s="1187"/>
      <c r="I217" s="1187"/>
    </row>
    <row r="218" spans="1:12" ht="30">
      <c r="A218" s="56" t="s">
        <v>168</v>
      </c>
      <c r="B218" s="1974"/>
      <c r="C218" s="72"/>
      <c r="D218" s="1518">
        <v>103546.45999999999</v>
      </c>
      <c r="E218" s="1519">
        <f>178764.01+8055.12</f>
        <v>186819.13</v>
      </c>
      <c r="F218" s="1519">
        <f>177452.39+5733.61+9557.3+1208.4+2026</f>
        <v>195977.69999999998</v>
      </c>
      <c r="G218" s="1187"/>
      <c r="H218" s="1187"/>
      <c r="I218" s="1187"/>
    </row>
    <row r="219" spans="1:12" ht="167.25" customHeight="1" thickBot="1">
      <c r="A219" s="331"/>
      <c r="B219" s="1975"/>
      <c r="C219" s="945" t="s">
        <v>13</v>
      </c>
      <c r="D219" s="1520">
        <f>SUM(D214:D218)</f>
        <v>391179.33999999997</v>
      </c>
      <c r="E219" s="1521">
        <f>SUM(E214:E218)</f>
        <v>1458458.2599999998</v>
      </c>
      <c r="F219" s="1522">
        <f>SUM(F214:F218)</f>
        <v>899754.89999999991</v>
      </c>
      <c r="G219" s="1523">
        <f t="shared" ref="G219:I219" si="24">SUM(G214:G218)</f>
        <v>0</v>
      </c>
      <c r="H219" s="1523">
        <f t="shared" si="24"/>
        <v>0</v>
      </c>
      <c r="I219" s="1523">
        <f t="shared" si="24"/>
        <v>0</v>
      </c>
    </row>
    <row r="222" spans="1:12">
      <c r="A222" s="2431" t="s">
        <v>397</v>
      </c>
      <c r="B222" s="2432"/>
      <c r="C222" s="2432"/>
      <c r="D222" s="2432"/>
      <c r="E222" s="2432"/>
      <c r="F222" s="2432"/>
      <c r="G222" s="2432"/>
      <c r="H222" s="2432"/>
      <c r="I222" s="2432"/>
    </row>
    <row r="223" spans="1:12">
      <c r="A223" s="2432"/>
      <c r="B223" s="2432"/>
      <c r="C223" s="2432"/>
      <c r="D223" s="2432"/>
      <c r="E223" s="2432"/>
      <c r="F223" s="2432"/>
      <c r="G223" s="2432"/>
      <c r="H223" s="2432"/>
      <c r="I223" s="2432"/>
    </row>
    <row r="224" spans="1:12">
      <c r="A224" s="2432"/>
      <c r="B224" s="2432"/>
      <c r="C224" s="2432"/>
      <c r="D224" s="2432"/>
      <c r="E224" s="2432"/>
      <c r="F224" s="2432"/>
      <c r="G224" s="2432"/>
      <c r="H224" s="2432"/>
      <c r="I224" s="2432"/>
    </row>
    <row r="225" spans="1:9">
      <c r="A225" s="2432"/>
      <c r="B225" s="2432"/>
      <c r="C225" s="2432"/>
      <c r="D225" s="2432"/>
      <c r="E225" s="2432"/>
      <c r="F225" s="2432"/>
      <c r="G225" s="2432"/>
      <c r="H225" s="2432"/>
      <c r="I225" s="2432"/>
    </row>
    <row r="226" spans="1:9" ht="48.75" customHeight="1">
      <c r="A226" s="2432"/>
      <c r="B226" s="2432"/>
      <c r="C226" s="2432"/>
      <c r="D226" s="2432"/>
      <c r="E226" s="2432"/>
      <c r="F226" s="2432"/>
      <c r="G226" s="2432"/>
      <c r="H226" s="2432"/>
      <c r="I226" s="2432"/>
    </row>
    <row r="227" spans="1:9" ht="1.5" customHeight="1">
      <c r="A227" s="2432"/>
      <c r="B227" s="2432"/>
      <c r="C227" s="2432"/>
      <c r="D227" s="2432"/>
      <c r="E227" s="2432"/>
      <c r="F227" s="2432"/>
      <c r="G227" s="2432"/>
      <c r="H227" s="2432"/>
      <c r="I227" s="2432"/>
    </row>
    <row r="228" spans="1:9" ht="15" hidden="1" customHeight="1">
      <c r="A228" s="2432"/>
      <c r="B228" s="2432"/>
      <c r="C228" s="2432"/>
      <c r="D228" s="2432"/>
      <c r="E228" s="2432"/>
      <c r="F228" s="2432"/>
      <c r="G228" s="2432"/>
      <c r="H228" s="2432"/>
      <c r="I228" s="2432"/>
    </row>
    <row r="229" spans="1:9" ht="15" hidden="1" customHeight="1">
      <c r="A229" s="2432"/>
      <c r="B229" s="2432"/>
      <c r="C229" s="2432"/>
      <c r="D229" s="2432"/>
      <c r="E229" s="2432"/>
      <c r="F229" s="2432"/>
      <c r="G229" s="2432"/>
      <c r="H229" s="2432"/>
      <c r="I229" s="2432"/>
    </row>
    <row r="230" spans="1:9" ht="15" hidden="1" customHeight="1">
      <c r="A230" s="2432"/>
      <c r="B230" s="2432"/>
      <c r="C230" s="2432"/>
      <c r="D230" s="2432"/>
      <c r="E230" s="2432"/>
      <c r="F230" s="2432"/>
      <c r="G230" s="2432"/>
      <c r="H230" s="2432"/>
      <c r="I230" s="2432"/>
    </row>
    <row r="231" spans="1:9" ht="15" hidden="1" customHeight="1">
      <c r="A231" s="2432"/>
      <c r="B231" s="2432"/>
      <c r="C231" s="2432"/>
      <c r="D231" s="2432"/>
      <c r="E231" s="2432"/>
      <c r="F231" s="2432"/>
      <c r="G231" s="2432"/>
      <c r="H231" s="2432"/>
      <c r="I231" s="2432"/>
    </row>
  </sheetData>
  <mergeCells count="57">
    <mergeCell ref="D60:D61"/>
    <mergeCell ref="B1:M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29:A130"/>
    <mergeCell ref="B129:B130"/>
    <mergeCell ref="A131:B138"/>
    <mergeCell ref="A142:A143"/>
    <mergeCell ref="B142:B143"/>
    <mergeCell ref="A178:B185"/>
    <mergeCell ref="J142:N142"/>
    <mergeCell ref="A144:B151"/>
    <mergeCell ref="A153:A154"/>
    <mergeCell ref="B153:B154"/>
    <mergeCell ref="C153:C154"/>
    <mergeCell ref="A155:B162"/>
    <mergeCell ref="C142:C143"/>
    <mergeCell ref="A165:B172"/>
    <mergeCell ref="A176:A177"/>
    <mergeCell ref="B176:B177"/>
    <mergeCell ref="C176:C177"/>
    <mergeCell ref="I176:O176"/>
    <mergeCell ref="A202:B209"/>
    <mergeCell ref="B213:B219"/>
    <mergeCell ref="A222:I231"/>
    <mergeCell ref="A187:A188"/>
    <mergeCell ref="B187:B188"/>
    <mergeCell ref="C187:C188"/>
    <mergeCell ref="D187:G187"/>
    <mergeCell ref="H187:L187"/>
    <mergeCell ref="A189:B196"/>
  </mergeCell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7"/>
  <sheetViews>
    <sheetView topLeftCell="B10" zoomScale="80" zoomScaleNormal="80" workbookViewId="0">
      <selection activeCell="I18" sqref="I18:O18"/>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398</v>
      </c>
      <c r="C1" s="1944"/>
      <c r="D1" s="1944"/>
      <c r="E1" s="1944"/>
      <c r="F1" s="1944"/>
    </row>
    <row r="2" spans="1:25" s="1" customFormat="1" ht="20.100000000000001" customHeight="1" thickBot="1"/>
    <row r="3" spans="1:25" s="4" customFormat="1" ht="20.100000000000001" customHeight="1">
      <c r="A3" s="488" t="s">
        <v>2</v>
      </c>
      <c r="B3" s="489"/>
      <c r="C3" s="489"/>
      <c r="D3" s="489"/>
      <c r="E3" s="489"/>
      <c r="F3" s="2010"/>
      <c r="G3" s="2010"/>
      <c r="H3" s="2010"/>
      <c r="I3" s="2010"/>
      <c r="J3" s="2010"/>
      <c r="K3" s="2010"/>
      <c r="L3" s="2010"/>
      <c r="M3" s="2010"/>
      <c r="N3" s="2010"/>
      <c r="O3" s="2011"/>
    </row>
    <row r="4" spans="1:25" s="4" customFormat="1" ht="20.100000000000001" customHeight="1">
      <c r="A4" s="1947" t="s">
        <v>170</v>
      </c>
      <c r="B4" s="1948"/>
      <c r="C4" s="1948"/>
      <c r="D4" s="1948"/>
      <c r="E4" s="1948"/>
      <c r="F4" s="1948"/>
      <c r="G4" s="1948"/>
      <c r="H4" s="1948"/>
      <c r="I4" s="1948"/>
      <c r="J4" s="1948"/>
      <c r="K4" s="1948"/>
      <c r="L4" s="1948"/>
      <c r="M4" s="1948"/>
      <c r="N4" s="1948"/>
      <c r="O4" s="1949"/>
    </row>
    <row r="5" spans="1:25" s="4" customFormat="1" ht="20.100000000000001" customHeight="1">
      <c r="A5" s="1947"/>
      <c r="B5" s="1948"/>
      <c r="C5" s="1948"/>
      <c r="D5" s="1948"/>
      <c r="E5" s="1948"/>
      <c r="F5" s="1948"/>
      <c r="G5" s="1948"/>
      <c r="H5" s="1948"/>
      <c r="I5" s="1948"/>
      <c r="J5" s="1948"/>
      <c r="K5" s="1948"/>
      <c r="L5" s="1948"/>
      <c r="M5" s="1948"/>
      <c r="N5" s="1948"/>
      <c r="O5" s="1949"/>
    </row>
    <row r="6" spans="1:25" s="4" customFormat="1" ht="20.100000000000001" customHeight="1">
      <c r="A6" s="1947"/>
      <c r="B6" s="1948"/>
      <c r="C6" s="1948"/>
      <c r="D6" s="1948"/>
      <c r="E6" s="1948"/>
      <c r="F6" s="1948"/>
      <c r="G6" s="1948"/>
      <c r="H6" s="1948"/>
      <c r="I6" s="1948"/>
      <c r="J6" s="1948"/>
      <c r="K6" s="1948"/>
      <c r="L6" s="1948"/>
      <c r="M6" s="1948"/>
      <c r="N6" s="1948"/>
      <c r="O6" s="1949"/>
    </row>
    <row r="7" spans="1:25" s="4" customFormat="1" ht="20.100000000000001" customHeight="1">
      <c r="A7" s="1947"/>
      <c r="B7" s="1948"/>
      <c r="C7" s="1948"/>
      <c r="D7" s="1948"/>
      <c r="E7" s="1948"/>
      <c r="F7" s="1948"/>
      <c r="G7" s="1948"/>
      <c r="H7" s="1948"/>
      <c r="I7" s="1948"/>
      <c r="J7" s="1948"/>
      <c r="K7" s="1948"/>
      <c r="L7" s="1948"/>
      <c r="M7" s="1948"/>
      <c r="N7" s="1948"/>
      <c r="O7" s="1949"/>
    </row>
    <row r="8" spans="1:25" s="4" customFormat="1" ht="20.100000000000001" customHeight="1">
      <c r="A8" s="1947"/>
      <c r="B8" s="1948"/>
      <c r="C8" s="1948"/>
      <c r="D8" s="1948"/>
      <c r="E8" s="1948"/>
      <c r="F8" s="1948"/>
      <c r="G8" s="1948"/>
      <c r="H8" s="1948"/>
      <c r="I8" s="1948"/>
      <c r="J8" s="1948"/>
      <c r="K8" s="1948"/>
      <c r="L8" s="1948"/>
      <c r="M8" s="1948"/>
      <c r="N8" s="1948"/>
      <c r="O8" s="1949"/>
    </row>
    <row r="9" spans="1:25" s="4" customFormat="1" ht="20.100000000000001" customHeight="1">
      <c r="A9" s="1947"/>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515"/>
      <c r="B15" s="516"/>
      <c r="C15" s="10"/>
      <c r="D15" s="1953" t="s">
        <v>5</v>
      </c>
      <c r="E15" s="2012"/>
      <c r="F15" s="2012"/>
      <c r="G15" s="2012"/>
      <c r="H15" s="11"/>
      <c r="I15" s="12" t="s">
        <v>6</v>
      </c>
      <c r="J15" s="13"/>
      <c r="K15" s="13"/>
      <c r="L15" s="13"/>
      <c r="M15" s="13"/>
      <c r="N15" s="13"/>
      <c r="O15" s="14"/>
      <c r="P15" s="15"/>
      <c r="Q15" s="16"/>
      <c r="R15" s="17"/>
      <c r="S15" s="17"/>
      <c r="T15" s="17"/>
      <c r="U15" s="17"/>
      <c r="V15" s="17"/>
      <c r="W15" s="15"/>
      <c r="X15" s="15"/>
      <c r="Y15" s="16"/>
    </row>
    <row r="16" spans="1:25" s="56" customFormat="1" ht="129" customHeight="1">
      <c r="A16" s="1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1874" t="s">
        <v>399</v>
      </c>
      <c r="B17" s="1855"/>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1854"/>
      <c r="B18" s="1855"/>
      <c r="C18" s="36">
        <v>2015</v>
      </c>
      <c r="D18" s="37">
        <v>15</v>
      </c>
      <c r="E18" s="38">
        <v>1</v>
      </c>
      <c r="F18" s="38"/>
      <c r="G18" s="32">
        <f>SUM(D18:F18)</f>
        <v>16</v>
      </c>
      <c r="H18" s="39"/>
      <c r="I18" s="38">
        <v>1</v>
      </c>
      <c r="J18" s="38"/>
      <c r="K18" s="38">
        <v>6</v>
      </c>
      <c r="L18" s="38">
        <v>9</v>
      </c>
      <c r="M18" s="38"/>
      <c r="N18" s="38"/>
      <c r="O18" s="40"/>
      <c r="P18" s="35"/>
      <c r="Q18" s="35"/>
      <c r="R18" s="35"/>
      <c r="S18" s="35"/>
      <c r="T18" s="35"/>
      <c r="U18" s="35"/>
      <c r="V18" s="35"/>
      <c r="W18" s="35"/>
      <c r="X18" s="35"/>
      <c r="Y18" s="35"/>
    </row>
    <row r="19" spans="1:25">
      <c r="A19" s="1854"/>
      <c r="B19" s="1855"/>
      <c r="C19" s="36">
        <v>2016</v>
      </c>
      <c r="D19" s="37">
        <v>76</v>
      </c>
      <c r="E19" s="38">
        <v>3</v>
      </c>
      <c r="F19" s="38">
        <v>1</v>
      </c>
      <c r="G19" s="32">
        <f t="shared" si="0"/>
        <v>80</v>
      </c>
      <c r="H19" s="39"/>
      <c r="I19" s="38">
        <v>18</v>
      </c>
      <c r="J19" s="38">
        <v>2</v>
      </c>
      <c r="K19" s="38">
        <v>53</v>
      </c>
      <c r="L19" s="38">
        <v>6</v>
      </c>
      <c r="M19" s="38"/>
      <c r="N19" s="38"/>
      <c r="O19" s="40">
        <v>1</v>
      </c>
      <c r="P19" s="35"/>
      <c r="Q19" s="35"/>
      <c r="R19" s="35"/>
      <c r="S19" s="35"/>
      <c r="T19" s="35"/>
      <c r="U19" s="35"/>
      <c r="V19" s="35"/>
      <c r="W19" s="35"/>
      <c r="X19" s="35"/>
      <c r="Y19" s="35"/>
    </row>
    <row r="20" spans="1:25">
      <c r="A20" s="1854"/>
      <c r="B20" s="1855"/>
      <c r="C20" s="36">
        <v>2017</v>
      </c>
      <c r="D20" s="37">
        <v>41</v>
      </c>
      <c r="E20" s="38">
        <v>3</v>
      </c>
      <c r="F20" s="38">
        <v>3</v>
      </c>
      <c r="G20" s="32">
        <f t="shared" si="0"/>
        <v>47</v>
      </c>
      <c r="H20" s="39"/>
      <c r="I20" s="38">
        <v>8</v>
      </c>
      <c r="J20" s="38">
        <v>4</v>
      </c>
      <c r="K20" s="38">
        <v>22</v>
      </c>
      <c r="L20" s="38">
        <v>1</v>
      </c>
      <c r="M20" s="38">
        <v>1</v>
      </c>
      <c r="N20" s="38"/>
      <c r="O20" s="40">
        <v>11</v>
      </c>
      <c r="P20" s="35"/>
      <c r="Q20" s="35"/>
      <c r="R20" s="35"/>
      <c r="S20" s="35"/>
      <c r="T20" s="35"/>
      <c r="U20" s="35"/>
      <c r="V20" s="35"/>
      <c r="W20" s="35"/>
      <c r="X20" s="35"/>
      <c r="Y20" s="35"/>
    </row>
    <row r="21" spans="1:25">
      <c r="A21" s="1854"/>
      <c r="B21" s="1855"/>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1854"/>
      <c r="B22" s="1855"/>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1854"/>
      <c r="B23" s="1855"/>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19.5" customHeight="1" thickBot="1">
      <c r="A24" s="1856"/>
      <c r="B24" s="1857"/>
      <c r="C24" s="42" t="s">
        <v>13</v>
      </c>
      <c r="D24" s="43">
        <f>SUM(D17:D23)</f>
        <v>132</v>
      </c>
      <c r="E24" s="44">
        <f>SUM(E17:E23)</f>
        <v>7</v>
      </c>
      <c r="F24" s="44">
        <f>SUM(F17:F23)</f>
        <v>4</v>
      </c>
      <c r="G24" s="45">
        <f>SUM(D24:F24)</f>
        <v>143</v>
      </c>
      <c r="H24" s="46">
        <f>SUM(H17:H23)</f>
        <v>0</v>
      </c>
      <c r="I24" s="47">
        <f>SUM(I17:I23)</f>
        <v>27</v>
      </c>
      <c r="J24" s="47">
        <f t="shared" ref="J24:N24" si="1">SUM(J17:J23)</f>
        <v>6</v>
      </c>
      <c r="K24" s="47">
        <f t="shared" si="1"/>
        <v>81</v>
      </c>
      <c r="L24" s="47">
        <f t="shared" si="1"/>
        <v>16</v>
      </c>
      <c r="M24" s="47">
        <f t="shared" si="1"/>
        <v>1</v>
      </c>
      <c r="N24" s="47">
        <f t="shared" si="1"/>
        <v>0</v>
      </c>
      <c r="O24" s="48">
        <f>SUM(O17:O23)</f>
        <v>12</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515"/>
      <c r="B26" s="516"/>
      <c r="C26" s="50"/>
      <c r="D26" s="1959" t="s">
        <v>5</v>
      </c>
      <c r="E26" s="2071"/>
      <c r="F26" s="2071"/>
      <c r="G26" s="2072"/>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1874" t="s">
        <v>400</v>
      </c>
      <c r="B28" s="1855"/>
      <c r="C28" s="57">
        <v>2014</v>
      </c>
      <c r="D28" s="33"/>
      <c r="E28" s="31"/>
      <c r="F28" s="31"/>
      <c r="G28" s="58">
        <f>SUM(D28:F28)</f>
        <v>0</v>
      </c>
      <c r="H28" s="35"/>
      <c r="I28" s="35"/>
      <c r="J28" s="35"/>
      <c r="K28" s="35"/>
      <c r="L28" s="35"/>
      <c r="M28" s="35"/>
      <c r="N28" s="35"/>
      <c r="O28" s="35"/>
      <c r="P28" s="35"/>
      <c r="Q28" s="7"/>
    </row>
    <row r="29" spans="1:25">
      <c r="A29" s="1854"/>
      <c r="B29" s="1855"/>
      <c r="C29" s="59">
        <v>2015</v>
      </c>
      <c r="D29" s="39">
        <v>766</v>
      </c>
      <c r="E29" s="38">
        <v>5</v>
      </c>
      <c r="F29" s="38"/>
      <c r="G29" s="58">
        <f t="shared" ref="G29:G35" si="2">SUM(D29:F29)</f>
        <v>771</v>
      </c>
      <c r="H29" s="35"/>
      <c r="I29" s="35"/>
      <c r="J29" s="35"/>
      <c r="K29" s="35"/>
      <c r="L29" s="35"/>
      <c r="M29" s="35"/>
      <c r="N29" s="35"/>
      <c r="O29" s="35"/>
      <c r="P29" s="35"/>
      <c r="Q29" s="7"/>
    </row>
    <row r="30" spans="1:25">
      <c r="A30" s="1854"/>
      <c r="B30" s="1855"/>
      <c r="C30" s="59">
        <v>2016</v>
      </c>
      <c r="D30" s="39">
        <v>104378</v>
      </c>
      <c r="E30" s="38">
        <v>32000</v>
      </c>
      <c r="F30" s="38">
        <v>411731</v>
      </c>
      <c r="G30" s="58">
        <f t="shared" si="2"/>
        <v>548109</v>
      </c>
      <c r="H30" s="35"/>
      <c r="I30" s="35"/>
      <c r="J30" s="35"/>
      <c r="K30" s="35"/>
      <c r="L30" s="35"/>
      <c r="M30" s="35"/>
      <c r="N30" s="35"/>
      <c r="O30" s="35"/>
      <c r="P30" s="35"/>
      <c r="Q30" s="7"/>
    </row>
    <row r="31" spans="1:25">
      <c r="A31" s="1854"/>
      <c r="B31" s="1855"/>
      <c r="C31" s="59">
        <v>2017</v>
      </c>
      <c r="D31" s="39">
        <v>111754</v>
      </c>
      <c r="E31" s="38">
        <v>20182</v>
      </c>
      <c r="F31" s="38">
        <v>710026</v>
      </c>
      <c r="G31" s="58">
        <f t="shared" si="2"/>
        <v>841962</v>
      </c>
      <c r="H31" s="35"/>
      <c r="I31" s="35"/>
      <c r="J31" s="35"/>
      <c r="K31" s="35"/>
      <c r="L31" s="35"/>
      <c r="M31" s="35"/>
      <c r="N31" s="35"/>
      <c r="O31" s="35"/>
      <c r="P31" s="35"/>
      <c r="Q31" s="7"/>
    </row>
    <row r="32" spans="1:25">
      <c r="A32" s="1854"/>
      <c r="B32" s="1855"/>
      <c r="C32" s="59">
        <v>2018</v>
      </c>
      <c r="D32" s="39"/>
      <c r="E32" s="38"/>
      <c r="F32" s="38"/>
      <c r="G32" s="58">
        <f>SUM(D32:F32)</f>
        <v>0</v>
      </c>
      <c r="H32" s="35"/>
      <c r="I32" s="35"/>
      <c r="J32" s="35"/>
      <c r="K32" s="35"/>
      <c r="L32" s="35"/>
      <c r="M32" s="35"/>
      <c r="N32" s="35"/>
      <c r="O32" s="35"/>
      <c r="P32" s="35"/>
      <c r="Q32" s="7"/>
    </row>
    <row r="33" spans="1:17">
      <c r="A33" s="1854"/>
      <c r="B33" s="1855"/>
      <c r="C33" s="60">
        <v>2019</v>
      </c>
      <c r="D33" s="39"/>
      <c r="E33" s="38"/>
      <c r="F33" s="38"/>
      <c r="G33" s="58">
        <f t="shared" si="2"/>
        <v>0</v>
      </c>
      <c r="H33" s="35"/>
      <c r="I33" s="35"/>
      <c r="J33" s="35"/>
      <c r="K33" s="35"/>
      <c r="L33" s="35"/>
      <c r="M33" s="35"/>
      <c r="N33" s="35"/>
      <c r="O33" s="35"/>
      <c r="P33" s="35"/>
      <c r="Q33" s="7"/>
    </row>
    <row r="34" spans="1:17">
      <c r="A34" s="1854"/>
      <c r="B34" s="1855"/>
      <c r="C34" s="59">
        <v>2020</v>
      </c>
      <c r="D34" s="39"/>
      <c r="E34" s="38"/>
      <c r="F34" s="38"/>
      <c r="G34" s="58">
        <f t="shared" si="2"/>
        <v>0</v>
      </c>
      <c r="H34" s="35"/>
      <c r="I34" s="35"/>
      <c r="J34" s="35"/>
      <c r="K34" s="35"/>
      <c r="L34" s="35"/>
      <c r="M34" s="35"/>
      <c r="N34" s="35"/>
      <c r="O34" s="35"/>
      <c r="P34" s="35"/>
      <c r="Q34" s="7"/>
    </row>
    <row r="35" spans="1:17" ht="20.25" customHeight="1" thickBot="1">
      <c r="A35" s="1856"/>
      <c r="B35" s="1857"/>
      <c r="C35" s="61" t="s">
        <v>13</v>
      </c>
      <c r="D35" s="46">
        <f>SUM(D28:D34)</f>
        <v>216898</v>
      </c>
      <c r="E35" s="44">
        <f>SUM(E28:E34)</f>
        <v>52187</v>
      </c>
      <c r="F35" s="44">
        <f>SUM(F28:F34)</f>
        <v>1121757</v>
      </c>
      <c r="G35" s="48">
        <f t="shared" si="2"/>
        <v>1390842</v>
      </c>
      <c r="H35" s="35"/>
      <c r="I35" s="35"/>
      <c r="J35" s="35"/>
      <c r="K35" s="35"/>
      <c r="L35" s="35"/>
      <c r="M35" s="35"/>
      <c r="N35" s="35"/>
      <c r="O35" s="35"/>
      <c r="P35" s="35"/>
      <c r="Q35" s="7"/>
    </row>
    <row r="36" spans="1:17">
      <c r="A36" s="62"/>
      <c r="B36" s="62"/>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535" t="s">
        <v>26</v>
      </c>
      <c r="B39" s="536" t="s">
        <v>171</v>
      </c>
      <c r="C39" s="68" t="s">
        <v>9</v>
      </c>
      <c r="D39" s="69" t="s">
        <v>28</v>
      </c>
      <c r="E39" s="70" t="s">
        <v>29</v>
      </c>
      <c r="F39" s="71"/>
      <c r="G39" s="28"/>
      <c r="H39" s="28"/>
    </row>
    <row r="40" spans="1:17">
      <c r="A40" s="1874"/>
      <c r="B40" s="1855"/>
      <c r="C40" s="72">
        <v>2014</v>
      </c>
      <c r="D40" s="30"/>
      <c r="E40" s="29"/>
      <c r="F40" s="7"/>
      <c r="G40" s="35"/>
      <c r="H40" s="35"/>
    </row>
    <row r="41" spans="1:17">
      <c r="A41" s="1854"/>
      <c r="B41" s="1855"/>
      <c r="C41" s="73">
        <v>2015</v>
      </c>
      <c r="D41" s="37">
        <v>8913</v>
      </c>
      <c r="E41" s="36">
        <v>2936</v>
      </c>
      <c r="F41" s="7"/>
      <c r="G41" s="35"/>
      <c r="H41" s="35"/>
    </row>
    <row r="42" spans="1:17">
      <c r="A42" s="1854"/>
      <c r="B42" s="1855"/>
      <c r="C42" s="73">
        <v>2016</v>
      </c>
      <c r="D42" s="37">
        <v>70083</v>
      </c>
      <c r="E42" s="36">
        <v>29606</v>
      </c>
      <c r="F42" s="7"/>
      <c r="G42" s="35"/>
      <c r="H42" s="35"/>
    </row>
    <row r="43" spans="1:17">
      <c r="A43" s="1854"/>
      <c r="B43" s="1855"/>
      <c r="C43" s="73">
        <v>2017</v>
      </c>
      <c r="D43" s="37">
        <v>61101</v>
      </c>
      <c r="E43" s="36">
        <v>28185</v>
      </c>
      <c r="F43" s="7"/>
      <c r="G43" s="35"/>
      <c r="H43" s="35"/>
    </row>
    <row r="44" spans="1:17">
      <c r="A44" s="1854"/>
      <c r="B44" s="1855"/>
      <c r="C44" s="73">
        <v>2018</v>
      </c>
      <c r="D44" s="37"/>
      <c r="E44" s="36"/>
      <c r="F44" s="7"/>
      <c r="G44" s="35"/>
      <c r="H44" s="35"/>
    </row>
    <row r="45" spans="1:17">
      <c r="A45" s="1854"/>
      <c r="B45" s="1855"/>
      <c r="C45" s="73">
        <v>2019</v>
      </c>
      <c r="D45" s="37"/>
      <c r="E45" s="36"/>
      <c r="F45" s="7"/>
      <c r="G45" s="35"/>
      <c r="H45" s="35"/>
    </row>
    <row r="46" spans="1:17">
      <c r="A46" s="1854"/>
      <c r="B46" s="1855"/>
      <c r="C46" s="73">
        <v>2020</v>
      </c>
      <c r="D46" s="37"/>
      <c r="E46" s="36"/>
      <c r="F46" s="7"/>
      <c r="G46" s="35"/>
      <c r="H46" s="35"/>
    </row>
    <row r="47" spans="1:17" ht="15.75" thickBot="1">
      <c r="A47" s="1856"/>
      <c r="B47" s="1857"/>
      <c r="C47" s="42" t="s">
        <v>13</v>
      </c>
      <c r="D47" s="43">
        <f>SUM(D40:D46)</f>
        <v>140097</v>
      </c>
      <c r="E47" s="455">
        <f>SUM(E40:E46)</f>
        <v>60727</v>
      </c>
      <c r="F47" s="78"/>
      <c r="G47" s="35"/>
      <c r="H47" s="35"/>
    </row>
    <row r="48" spans="1:17" s="35" customFormat="1" ht="15.75" thickBot="1">
      <c r="A48" s="539"/>
      <c r="B48" s="80"/>
      <c r="C48" s="81"/>
    </row>
    <row r="49" spans="1:15" ht="83.25" customHeight="1">
      <c r="A49" s="82" t="s">
        <v>32</v>
      </c>
      <c r="B49" s="536" t="s">
        <v>171</v>
      </c>
      <c r="C49" s="84" t="s">
        <v>9</v>
      </c>
      <c r="D49" s="69" t="s">
        <v>34</v>
      </c>
      <c r="E49" s="85" t="s">
        <v>35</v>
      </c>
      <c r="F49" s="85" t="s">
        <v>36</v>
      </c>
      <c r="G49" s="85" t="s">
        <v>37</v>
      </c>
      <c r="H49" s="85" t="s">
        <v>38</v>
      </c>
      <c r="I49" s="85" t="s">
        <v>39</v>
      </c>
      <c r="J49" s="85" t="s">
        <v>40</v>
      </c>
      <c r="K49" s="86" t="s">
        <v>41</v>
      </c>
    </row>
    <row r="50" spans="1:15" ht="17.25" customHeight="1">
      <c r="A50" s="1872"/>
      <c r="B50" s="1879"/>
      <c r="C50" s="87" t="s">
        <v>43</v>
      </c>
      <c r="D50" s="30"/>
      <c r="E50" s="31"/>
      <c r="F50" s="31"/>
      <c r="G50" s="31"/>
      <c r="H50" s="31"/>
      <c r="I50" s="31"/>
      <c r="J50" s="31"/>
      <c r="K50" s="34"/>
    </row>
    <row r="51" spans="1:15" ht="15" customHeight="1">
      <c r="A51" s="1874"/>
      <c r="B51" s="1881"/>
      <c r="C51" s="73">
        <v>2014</v>
      </c>
      <c r="D51" s="37"/>
      <c r="E51" s="38"/>
      <c r="F51" s="38"/>
      <c r="G51" s="38"/>
      <c r="H51" s="38"/>
      <c r="I51" s="38"/>
      <c r="J51" s="38"/>
      <c r="K51" s="88"/>
    </row>
    <row r="52" spans="1:15">
      <c r="A52" s="1874"/>
      <c r="B52" s="1881"/>
      <c r="C52" s="73">
        <v>2015</v>
      </c>
      <c r="D52" s="37"/>
      <c r="E52" s="38"/>
      <c r="F52" s="38"/>
      <c r="G52" s="38"/>
      <c r="H52" s="38"/>
      <c r="I52" s="38"/>
      <c r="J52" s="38"/>
      <c r="K52" s="88"/>
    </row>
    <row r="53" spans="1:15">
      <c r="A53" s="1874"/>
      <c r="B53" s="1881"/>
      <c r="C53" s="73">
        <v>2016</v>
      </c>
      <c r="D53" s="37"/>
      <c r="E53" s="38"/>
      <c r="F53" s="38"/>
      <c r="G53" s="38"/>
      <c r="H53" s="38"/>
      <c r="I53" s="38"/>
      <c r="J53" s="38"/>
      <c r="K53" s="88"/>
    </row>
    <row r="54" spans="1:15">
      <c r="A54" s="1874"/>
      <c r="B54" s="1881"/>
      <c r="C54" s="73">
        <v>2017</v>
      </c>
      <c r="D54" s="37"/>
      <c r="E54" s="38"/>
      <c r="F54" s="38"/>
      <c r="G54" s="38"/>
      <c r="H54" s="38"/>
      <c r="I54" s="38"/>
      <c r="J54" s="38"/>
      <c r="K54" s="88"/>
    </row>
    <row r="55" spans="1:15">
      <c r="A55" s="1874"/>
      <c r="B55" s="1881"/>
      <c r="C55" s="73">
        <v>2018</v>
      </c>
      <c r="D55" s="37"/>
      <c r="E55" s="38"/>
      <c r="F55" s="38"/>
      <c r="G55" s="38"/>
      <c r="H55" s="38"/>
      <c r="I55" s="38"/>
      <c r="J55" s="38"/>
      <c r="K55" s="88"/>
    </row>
    <row r="56" spans="1:15">
      <c r="A56" s="1874"/>
      <c r="B56" s="1881"/>
      <c r="C56" s="73">
        <v>2019</v>
      </c>
      <c r="D56" s="37"/>
      <c r="E56" s="38"/>
      <c r="F56" s="38"/>
      <c r="G56" s="38"/>
      <c r="H56" s="38"/>
      <c r="I56" s="38"/>
      <c r="J56" s="38"/>
      <c r="K56" s="88"/>
    </row>
    <row r="57" spans="1:15">
      <c r="A57" s="1874"/>
      <c r="B57" s="1881"/>
      <c r="C57" s="73">
        <v>2020</v>
      </c>
      <c r="D57" s="37"/>
      <c r="E57" s="38"/>
      <c r="F57" s="38"/>
      <c r="G57" s="38"/>
      <c r="H57" s="38"/>
      <c r="I57" s="38"/>
      <c r="J57" s="38"/>
      <c r="K57" s="93"/>
    </row>
    <row r="58" spans="1:15" ht="20.25" customHeight="1" thickBot="1">
      <c r="A58" s="1876"/>
      <c r="B58" s="1883"/>
      <c r="C58" s="42" t="s">
        <v>13</v>
      </c>
      <c r="D58" s="43">
        <f>SUM(D51:D57)</f>
        <v>0</v>
      </c>
      <c r="E58" s="44">
        <f>SUM(E51:E57)</f>
        <v>0</v>
      </c>
      <c r="F58" s="44">
        <f>SUM(F51:F57)</f>
        <v>0</v>
      </c>
      <c r="G58" s="44">
        <f>SUM(G51:G57)</f>
        <v>0</v>
      </c>
      <c r="H58" s="44">
        <f>SUM(H51:H57)</f>
        <v>0</v>
      </c>
      <c r="I58" s="44">
        <f t="shared" ref="I58" si="3">SUM(I51:I57)</f>
        <v>0</v>
      </c>
      <c r="J58" s="44">
        <f>SUM(J51:J57)</f>
        <v>0</v>
      </c>
      <c r="K58" s="48">
        <f>SUM(K50:K56)</f>
        <v>0</v>
      </c>
    </row>
    <row r="59" spans="1:15" ht="15.75" thickBot="1"/>
    <row r="60" spans="1:15" ht="21" customHeight="1">
      <c r="A60" s="2073" t="s">
        <v>44</v>
      </c>
      <c r="B60" s="540"/>
      <c r="C60" s="2074" t="s">
        <v>9</v>
      </c>
      <c r="D60" s="1941" t="s">
        <v>45</v>
      </c>
      <c r="E60" s="96" t="s">
        <v>6</v>
      </c>
      <c r="F60" s="541"/>
      <c r="G60" s="541"/>
      <c r="H60" s="541"/>
      <c r="I60" s="541"/>
      <c r="J60" s="541"/>
      <c r="K60" s="541"/>
      <c r="L60" s="542"/>
    </row>
    <row r="61" spans="1:15" ht="115.5" customHeight="1">
      <c r="A61" s="1970"/>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1898" t="s">
        <v>401</v>
      </c>
      <c r="B62" s="1899"/>
      <c r="C62" s="106">
        <v>2014</v>
      </c>
      <c r="D62" s="107"/>
      <c r="E62" s="108"/>
      <c r="F62" s="109"/>
      <c r="G62" s="109"/>
      <c r="H62" s="109"/>
      <c r="I62" s="109"/>
      <c r="J62" s="109"/>
      <c r="K62" s="109"/>
      <c r="L62" s="34"/>
      <c r="M62" s="7"/>
      <c r="N62" s="7"/>
      <c r="O62" s="7"/>
    </row>
    <row r="63" spans="1:15">
      <c r="A63" s="1891"/>
      <c r="B63" s="1899"/>
      <c r="C63" s="110">
        <v>2015</v>
      </c>
      <c r="D63" s="111">
        <v>3</v>
      </c>
      <c r="E63" s="112"/>
      <c r="F63" s="38"/>
      <c r="G63" s="38"/>
      <c r="H63" s="38"/>
      <c r="I63" s="38"/>
      <c r="J63" s="38"/>
      <c r="K63" s="38"/>
      <c r="L63" s="88">
        <v>3</v>
      </c>
      <c r="M63" s="7"/>
      <c r="N63" s="7"/>
      <c r="O63" s="7"/>
    </row>
    <row r="64" spans="1:15">
      <c r="A64" s="1891"/>
      <c r="B64" s="1899"/>
      <c r="C64" s="110">
        <v>2016</v>
      </c>
      <c r="D64" s="111">
        <v>8</v>
      </c>
      <c r="E64" s="112"/>
      <c r="F64" s="38">
        <v>2</v>
      </c>
      <c r="G64" s="38"/>
      <c r="H64" s="38">
        <v>3</v>
      </c>
      <c r="I64" s="38"/>
      <c r="J64" s="38"/>
      <c r="K64" s="38"/>
      <c r="L64" s="88">
        <v>3</v>
      </c>
      <c r="M64" s="7"/>
      <c r="N64" s="7"/>
      <c r="O64" s="7"/>
    </row>
    <row r="65" spans="1:20">
      <c r="A65" s="1891"/>
      <c r="B65" s="1899"/>
      <c r="C65" s="110">
        <v>2017</v>
      </c>
      <c r="D65" s="111">
        <v>4</v>
      </c>
      <c r="E65" s="112"/>
      <c r="F65" s="38">
        <v>2</v>
      </c>
      <c r="G65" s="38">
        <v>1</v>
      </c>
      <c r="H65" s="38">
        <v>1</v>
      </c>
      <c r="I65" s="38"/>
      <c r="J65" s="38"/>
      <c r="K65" s="38"/>
      <c r="L65" s="88"/>
      <c r="M65" s="7"/>
      <c r="N65" s="7"/>
      <c r="O65" s="7"/>
    </row>
    <row r="66" spans="1:20">
      <c r="A66" s="1891"/>
      <c r="B66" s="1899"/>
      <c r="C66" s="110">
        <v>2018</v>
      </c>
      <c r="D66" s="111"/>
      <c r="E66" s="112"/>
      <c r="F66" s="38"/>
      <c r="G66" s="38"/>
      <c r="H66" s="38"/>
      <c r="I66" s="38"/>
      <c r="J66" s="38"/>
      <c r="K66" s="38"/>
      <c r="L66" s="88"/>
      <c r="M66" s="7"/>
      <c r="N66" s="7"/>
      <c r="O66" s="7"/>
    </row>
    <row r="67" spans="1:20" ht="17.25" customHeight="1">
      <c r="A67" s="1891"/>
      <c r="B67" s="1899"/>
      <c r="C67" s="110">
        <v>2019</v>
      </c>
      <c r="D67" s="111"/>
      <c r="E67" s="112"/>
      <c r="F67" s="38"/>
      <c r="G67" s="38"/>
      <c r="H67" s="38"/>
      <c r="I67" s="38"/>
      <c r="J67" s="38"/>
      <c r="K67" s="38"/>
      <c r="L67" s="88"/>
      <c r="M67" s="7"/>
      <c r="N67" s="7"/>
      <c r="O67" s="7"/>
    </row>
    <row r="68" spans="1:20" ht="16.5" customHeight="1">
      <c r="A68" s="1891"/>
      <c r="B68" s="1899"/>
      <c r="C68" s="110">
        <v>2020</v>
      </c>
      <c r="D68" s="111"/>
      <c r="E68" s="112"/>
      <c r="F68" s="38"/>
      <c r="G68" s="38"/>
      <c r="H68" s="38"/>
      <c r="I68" s="38"/>
      <c r="J68" s="38"/>
      <c r="K68" s="38"/>
      <c r="L68" s="88"/>
      <c r="M68" s="78"/>
      <c r="N68" s="78"/>
      <c r="O68" s="78"/>
    </row>
    <row r="69" spans="1:20" ht="18" customHeight="1" thickBot="1">
      <c r="A69" s="1980"/>
      <c r="B69" s="1900"/>
      <c r="C69" s="113" t="s">
        <v>13</v>
      </c>
      <c r="D69" s="114">
        <f>SUM(D62:D68)</f>
        <v>15</v>
      </c>
      <c r="E69" s="115">
        <f>SUM(E62:E68)</f>
        <v>0</v>
      </c>
      <c r="F69" s="116">
        <f t="shared" ref="F69:I69" si="4">SUM(F62:F68)</f>
        <v>4</v>
      </c>
      <c r="G69" s="116">
        <f t="shared" si="4"/>
        <v>1</v>
      </c>
      <c r="H69" s="116">
        <f t="shared" si="4"/>
        <v>4</v>
      </c>
      <c r="I69" s="116">
        <f t="shared" si="4"/>
        <v>0</v>
      </c>
      <c r="J69" s="116"/>
      <c r="K69" s="116">
        <f>SUM(K62:K68)</f>
        <v>0</v>
      </c>
      <c r="L69" s="117">
        <f>SUM(L62:L68)</f>
        <v>6</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535" t="s">
        <v>47</v>
      </c>
      <c r="B71" s="536"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1874"/>
      <c r="B72" s="1899"/>
      <c r="C72" s="72">
        <v>2014</v>
      </c>
      <c r="D72" s="131"/>
      <c r="E72" s="131"/>
      <c r="F72" s="131"/>
      <c r="G72" s="132">
        <f>SUM(D72:F72)</f>
        <v>0</v>
      </c>
      <c r="H72" s="30"/>
      <c r="I72" s="133"/>
      <c r="J72" s="109"/>
      <c r="K72" s="109"/>
      <c r="L72" s="109"/>
      <c r="M72" s="109"/>
      <c r="N72" s="109"/>
      <c r="O72" s="134"/>
    </row>
    <row r="73" spans="1:20">
      <c r="A73" s="1854"/>
      <c r="B73" s="1899"/>
      <c r="C73" s="73">
        <v>2015</v>
      </c>
      <c r="D73" s="135"/>
      <c r="E73" s="135"/>
      <c r="F73" s="135"/>
      <c r="G73" s="132">
        <f t="shared" ref="G73:G78" si="5">SUM(D73:F73)</f>
        <v>0</v>
      </c>
      <c r="H73" s="37"/>
      <c r="I73" s="37"/>
      <c r="J73" s="38"/>
      <c r="K73" s="38"/>
      <c r="L73" s="38"/>
      <c r="M73" s="38"/>
      <c r="N73" s="38"/>
      <c r="O73" s="88"/>
    </row>
    <row r="74" spans="1:20">
      <c r="A74" s="1854"/>
      <c r="B74" s="1899"/>
      <c r="C74" s="73">
        <v>2016</v>
      </c>
      <c r="D74" s="135"/>
      <c r="E74" s="135"/>
      <c r="F74" s="135"/>
      <c r="G74" s="132">
        <f t="shared" si="5"/>
        <v>0</v>
      </c>
      <c r="H74" s="37"/>
      <c r="I74" s="37"/>
      <c r="J74" s="38"/>
      <c r="K74" s="38"/>
      <c r="L74" s="38"/>
      <c r="M74" s="38"/>
      <c r="N74" s="38"/>
      <c r="O74" s="88"/>
    </row>
    <row r="75" spans="1:20">
      <c r="A75" s="1854"/>
      <c r="B75" s="1899"/>
      <c r="C75" s="73">
        <v>2017</v>
      </c>
      <c r="D75" s="135"/>
      <c r="E75" s="135"/>
      <c r="F75" s="135"/>
      <c r="G75" s="132">
        <f t="shared" si="5"/>
        <v>0</v>
      </c>
      <c r="H75" s="37"/>
      <c r="I75" s="37"/>
      <c r="J75" s="38"/>
      <c r="K75" s="38"/>
      <c r="L75" s="38"/>
      <c r="M75" s="38"/>
      <c r="N75" s="38"/>
      <c r="O75" s="88"/>
    </row>
    <row r="76" spans="1:20">
      <c r="A76" s="1854"/>
      <c r="B76" s="1899"/>
      <c r="C76" s="73">
        <v>2018</v>
      </c>
      <c r="D76" s="135"/>
      <c r="E76" s="135"/>
      <c r="F76" s="135"/>
      <c r="G76" s="132">
        <f t="shared" si="5"/>
        <v>0</v>
      </c>
      <c r="H76" s="37"/>
      <c r="I76" s="37"/>
      <c r="J76" s="38"/>
      <c r="K76" s="38"/>
      <c r="L76" s="38"/>
      <c r="M76" s="38"/>
      <c r="N76" s="38"/>
      <c r="O76" s="88"/>
    </row>
    <row r="77" spans="1:20" ht="15.75" customHeight="1">
      <c r="A77" s="1854"/>
      <c r="B77" s="1899"/>
      <c r="C77" s="73">
        <v>2019</v>
      </c>
      <c r="D77" s="135"/>
      <c r="E77" s="135"/>
      <c r="F77" s="135"/>
      <c r="G77" s="132">
        <f t="shared" si="5"/>
        <v>0</v>
      </c>
      <c r="H77" s="37"/>
      <c r="I77" s="37"/>
      <c r="J77" s="38"/>
      <c r="K77" s="38"/>
      <c r="L77" s="38"/>
      <c r="M77" s="38"/>
      <c r="N77" s="38"/>
      <c r="O77" s="88"/>
    </row>
    <row r="78" spans="1:20" ht="17.25" customHeight="1">
      <c r="A78" s="1854"/>
      <c r="B78" s="1899"/>
      <c r="C78" s="73">
        <v>2020</v>
      </c>
      <c r="D78" s="135"/>
      <c r="E78" s="135"/>
      <c r="F78" s="135"/>
      <c r="G78" s="132">
        <f t="shared" si="5"/>
        <v>0</v>
      </c>
      <c r="H78" s="37"/>
      <c r="I78" s="37"/>
      <c r="J78" s="38"/>
      <c r="K78" s="38"/>
      <c r="L78" s="38"/>
      <c r="M78" s="38"/>
      <c r="N78" s="38"/>
      <c r="O78" s="88"/>
    </row>
    <row r="79" spans="1:20" ht="20.25" customHeight="1" thickBot="1">
      <c r="A79" s="1980"/>
      <c r="B79" s="1900"/>
      <c r="C79" s="136" t="s">
        <v>13</v>
      </c>
      <c r="D79" s="114">
        <f>SUM(D72:D78)</f>
        <v>0</v>
      </c>
      <c r="E79" s="114">
        <f>SUM(E72:E78)</f>
        <v>0</v>
      </c>
      <c r="F79" s="114">
        <f>SUM(F72:F78)</f>
        <v>0</v>
      </c>
      <c r="G79" s="137">
        <f>SUM(G72:G78)</f>
        <v>0</v>
      </c>
      <c r="H79" s="138">
        <v>0</v>
      </c>
      <c r="I79" s="139">
        <f t="shared" ref="I79:O79" si="6">SUM(I72:I78)</f>
        <v>0</v>
      </c>
      <c r="J79" s="116">
        <f t="shared" si="6"/>
        <v>0</v>
      </c>
      <c r="K79" s="116">
        <f t="shared" si="6"/>
        <v>0</v>
      </c>
      <c r="L79" s="116">
        <f t="shared" si="6"/>
        <v>0</v>
      </c>
      <c r="M79" s="116">
        <f t="shared" si="6"/>
        <v>0</v>
      </c>
      <c r="N79" s="116">
        <f t="shared" si="6"/>
        <v>0</v>
      </c>
      <c r="O79" s="117">
        <f t="shared" si="6"/>
        <v>0</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547" t="s">
        <v>56</v>
      </c>
      <c r="B84" s="548" t="s">
        <v>178</v>
      </c>
      <c r="C84" s="149" t="s">
        <v>9</v>
      </c>
      <c r="D84" s="150" t="s">
        <v>58</v>
      </c>
      <c r="E84" s="151" t="s">
        <v>59</v>
      </c>
      <c r="F84" s="152" t="s">
        <v>60</v>
      </c>
      <c r="G84" s="152" t="s">
        <v>61</v>
      </c>
      <c r="H84" s="152" t="s">
        <v>62</v>
      </c>
      <c r="I84" s="152" t="s">
        <v>63</v>
      </c>
      <c r="J84" s="152" t="s">
        <v>64</v>
      </c>
      <c r="K84" s="153" t="s">
        <v>65</v>
      </c>
    </row>
    <row r="85" spans="1:16" ht="15" customHeight="1">
      <c r="A85" s="1938"/>
      <c r="B85" s="1899"/>
      <c r="C85" s="72">
        <v>2014</v>
      </c>
      <c r="D85" s="154"/>
      <c r="E85" s="155"/>
      <c r="F85" s="31"/>
      <c r="G85" s="31"/>
      <c r="H85" s="31"/>
      <c r="I85" s="31"/>
      <c r="J85" s="31"/>
      <c r="K85" s="34"/>
    </row>
    <row r="86" spans="1:16">
      <c r="A86" s="1939"/>
      <c r="B86" s="1899"/>
      <c r="C86" s="73">
        <v>2015</v>
      </c>
      <c r="D86" s="156"/>
      <c r="E86" s="112"/>
      <c r="F86" s="38"/>
      <c r="G86" s="38"/>
      <c r="H86" s="38"/>
      <c r="I86" s="38"/>
      <c r="J86" s="38"/>
      <c r="K86" s="88"/>
    </row>
    <row r="87" spans="1:16">
      <c r="A87" s="1939"/>
      <c r="B87" s="1899"/>
      <c r="C87" s="73">
        <v>2016</v>
      </c>
      <c r="D87" s="156"/>
      <c r="E87" s="112"/>
      <c r="F87" s="38"/>
      <c r="G87" s="38"/>
      <c r="H87" s="38"/>
      <c r="I87" s="38"/>
      <c r="J87" s="38"/>
      <c r="K87" s="88"/>
    </row>
    <row r="88" spans="1:16">
      <c r="A88" s="1939"/>
      <c r="B88" s="1899"/>
      <c r="C88" s="73">
        <v>2017</v>
      </c>
      <c r="D88" s="156"/>
      <c r="E88" s="112"/>
      <c r="F88" s="38"/>
      <c r="G88" s="38"/>
      <c r="H88" s="38"/>
      <c r="I88" s="38"/>
      <c r="J88" s="38"/>
      <c r="K88" s="88"/>
    </row>
    <row r="89" spans="1:16">
      <c r="A89" s="1939"/>
      <c r="B89" s="1899"/>
      <c r="C89" s="73">
        <v>2018</v>
      </c>
      <c r="D89" s="156"/>
      <c r="E89" s="112"/>
      <c r="F89" s="38"/>
      <c r="G89" s="38"/>
      <c r="H89" s="38"/>
      <c r="I89" s="38"/>
      <c r="J89" s="38"/>
      <c r="K89" s="88"/>
    </row>
    <row r="90" spans="1:16">
      <c r="A90" s="1939"/>
      <c r="B90" s="1899"/>
      <c r="C90" s="73">
        <v>2019</v>
      </c>
      <c r="D90" s="156"/>
      <c r="E90" s="112"/>
      <c r="F90" s="38"/>
      <c r="G90" s="38"/>
      <c r="H90" s="38"/>
      <c r="I90" s="38"/>
      <c r="J90" s="38"/>
      <c r="K90" s="88"/>
    </row>
    <row r="91" spans="1:16">
      <c r="A91" s="1939"/>
      <c r="B91" s="1899"/>
      <c r="C91" s="73">
        <v>2020</v>
      </c>
      <c r="D91" s="156"/>
      <c r="E91" s="112"/>
      <c r="F91" s="38"/>
      <c r="G91" s="38"/>
      <c r="H91" s="38"/>
      <c r="I91" s="38"/>
      <c r="J91" s="38"/>
      <c r="K91" s="88"/>
    </row>
    <row r="92" spans="1:16" ht="18" customHeight="1" thickBot="1">
      <c r="A92" s="1940"/>
      <c r="B92" s="1900"/>
      <c r="C92" s="136" t="s">
        <v>13</v>
      </c>
      <c r="D92" s="157">
        <f t="shared" ref="D92:I92" si="7">SUM(D85:D91)</f>
        <v>0</v>
      </c>
      <c r="E92" s="115">
        <f t="shared" si="7"/>
        <v>0</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051" t="s">
        <v>68</v>
      </c>
      <c r="B96" s="2052" t="s">
        <v>179</v>
      </c>
      <c r="C96" s="2058" t="s">
        <v>9</v>
      </c>
      <c r="D96" s="1916" t="s">
        <v>70</v>
      </c>
      <c r="E96" s="1917"/>
      <c r="F96" s="162" t="s">
        <v>71</v>
      </c>
      <c r="G96" s="549"/>
      <c r="H96" s="549"/>
      <c r="I96" s="549"/>
      <c r="J96" s="549"/>
      <c r="K96" s="549"/>
      <c r="L96" s="549"/>
      <c r="M96" s="550"/>
      <c r="N96" s="165"/>
      <c r="O96" s="165"/>
      <c r="P96" s="165"/>
    </row>
    <row r="97" spans="1:16" ht="100.5" customHeight="1">
      <c r="A97" s="1910"/>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1898" t="s">
        <v>402</v>
      </c>
      <c r="B98" s="1899"/>
      <c r="C98" s="106">
        <v>2014</v>
      </c>
      <c r="D98" s="30"/>
      <c r="E98" s="31"/>
      <c r="F98" s="174"/>
      <c r="G98" s="175"/>
      <c r="H98" s="175"/>
      <c r="I98" s="175"/>
      <c r="J98" s="175"/>
      <c r="K98" s="175"/>
      <c r="L98" s="175"/>
      <c r="M98" s="176"/>
      <c r="N98" s="165"/>
      <c r="O98" s="165"/>
      <c r="P98" s="165"/>
    </row>
    <row r="99" spans="1:16" ht="16.5" customHeight="1">
      <c r="A99" s="1891"/>
      <c r="B99" s="1899"/>
      <c r="C99" s="110">
        <v>2015</v>
      </c>
      <c r="D99" s="37">
        <v>1</v>
      </c>
      <c r="E99" s="38">
        <v>2</v>
      </c>
      <c r="F99" s="177"/>
      <c r="G99" s="178"/>
      <c r="H99" s="178"/>
      <c r="I99" s="178"/>
      <c r="J99" s="178"/>
      <c r="K99" s="178"/>
      <c r="L99" s="178"/>
      <c r="M99" s="179">
        <v>1</v>
      </c>
      <c r="N99" s="165"/>
      <c r="O99" s="165"/>
      <c r="P99" s="165"/>
    </row>
    <row r="100" spans="1:16" ht="16.5" customHeight="1">
      <c r="A100" s="1891"/>
      <c r="B100" s="1899"/>
      <c r="C100" s="110">
        <v>2016</v>
      </c>
      <c r="D100" s="37">
        <v>1</v>
      </c>
      <c r="E100" s="38">
        <v>7</v>
      </c>
      <c r="F100" s="177"/>
      <c r="G100" s="178"/>
      <c r="H100" s="178"/>
      <c r="I100" s="178"/>
      <c r="J100" s="178"/>
      <c r="K100" s="178"/>
      <c r="L100" s="178"/>
      <c r="M100" s="179">
        <v>1</v>
      </c>
      <c r="N100" s="165"/>
      <c r="O100" s="165"/>
      <c r="P100" s="165"/>
    </row>
    <row r="101" spans="1:16" ht="16.5" customHeight="1">
      <c r="A101" s="1891"/>
      <c r="B101" s="1899"/>
      <c r="C101" s="110">
        <v>2017</v>
      </c>
      <c r="D101" s="37">
        <v>1</v>
      </c>
      <c r="E101" s="38">
        <v>6</v>
      </c>
      <c r="F101" s="177"/>
      <c r="G101" s="178"/>
      <c r="H101" s="178"/>
      <c r="I101" s="178"/>
      <c r="J101" s="178"/>
      <c r="K101" s="178"/>
      <c r="L101" s="178"/>
      <c r="M101" s="179">
        <v>1</v>
      </c>
      <c r="N101" s="165"/>
      <c r="O101" s="165"/>
      <c r="P101" s="165"/>
    </row>
    <row r="102" spans="1:16" ht="15.75" customHeight="1">
      <c r="A102" s="1891"/>
      <c r="B102" s="1899"/>
      <c r="C102" s="110">
        <v>2018</v>
      </c>
      <c r="D102" s="37"/>
      <c r="E102" s="38"/>
      <c r="F102" s="177"/>
      <c r="G102" s="178"/>
      <c r="H102" s="178"/>
      <c r="I102" s="178"/>
      <c r="J102" s="178"/>
      <c r="K102" s="178"/>
      <c r="L102" s="178"/>
      <c r="M102" s="179"/>
      <c r="N102" s="165"/>
      <c r="O102" s="165"/>
      <c r="P102" s="165"/>
    </row>
    <row r="103" spans="1:16" ht="14.25" customHeight="1">
      <c r="A103" s="1891"/>
      <c r="B103" s="1899"/>
      <c r="C103" s="110">
        <v>2019</v>
      </c>
      <c r="D103" s="37"/>
      <c r="E103" s="38"/>
      <c r="F103" s="177"/>
      <c r="G103" s="178"/>
      <c r="H103" s="178"/>
      <c r="I103" s="178"/>
      <c r="J103" s="178"/>
      <c r="K103" s="178"/>
      <c r="L103" s="178"/>
      <c r="M103" s="179"/>
      <c r="N103" s="165"/>
      <c r="O103" s="165"/>
      <c r="P103" s="165"/>
    </row>
    <row r="104" spans="1:16" ht="14.25" customHeight="1">
      <c r="A104" s="1891"/>
      <c r="B104" s="1899"/>
      <c r="C104" s="110">
        <v>2020</v>
      </c>
      <c r="D104" s="37"/>
      <c r="E104" s="38"/>
      <c r="F104" s="177"/>
      <c r="G104" s="178"/>
      <c r="H104" s="178"/>
      <c r="I104" s="178"/>
      <c r="J104" s="178"/>
      <c r="K104" s="178"/>
      <c r="L104" s="178"/>
      <c r="M104" s="179"/>
      <c r="N104" s="165"/>
      <c r="O104" s="165"/>
      <c r="P104" s="165"/>
    </row>
    <row r="105" spans="1:16" ht="19.5" customHeight="1" thickBot="1">
      <c r="A105" s="1915"/>
      <c r="B105" s="1900"/>
      <c r="C105" s="113" t="s">
        <v>13</v>
      </c>
      <c r="D105" s="139">
        <f>SUM(D98:D104)</f>
        <v>3</v>
      </c>
      <c r="E105" s="116">
        <f t="shared" ref="E105:K105" si="8">SUM(E98:E104)</f>
        <v>15</v>
      </c>
      <c r="F105" s="180">
        <f t="shared" si="8"/>
        <v>0</v>
      </c>
      <c r="G105" s="181">
        <f t="shared" si="8"/>
        <v>0</v>
      </c>
      <c r="H105" s="181">
        <f t="shared" si="8"/>
        <v>0</v>
      </c>
      <c r="I105" s="181">
        <f>SUM(I98:I104)</f>
        <v>0</v>
      </c>
      <c r="J105" s="181">
        <f t="shared" si="8"/>
        <v>0</v>
      </c>
      <c r="K105" s="181">
        <f t="shared" si="8"/>
        <v>0</v>
      </c>
      <c r="L105" s="181">
        <f>SUM(L98:L104)</f>
        <v>0</v>
      </c>
      <c r="M105" s="182">
        <f>SUM(M98:M104)</f>
        <v>3</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051" t="s">
        <v>77</v>
      </c>
      <c r="B107" s="2052" t="s">
        <v>179</v>
      </c>
      <c r="C107" s="2058" t="s">
        <v>9</v>
      </c>
      <c r="D107" s="1926" t="s">
        <v>78</v>
      </c>
      <c r="E107" s="162" t="s">
        <v>79</v>
      </c>
      <c r="F107" s="549"/>
      <c r="G107" s="549"/>
      <c r="H107" s="549"/>
      <c r="I107" s="549"/>
      <c r="J107" s="549"/>
      <c r="K107" s="549"/>
      <c r="L107" s="550"/>
      <c r="M107" s="185"/>
      <c r="N107" s="185"/>
    </row>
    <row r="108" spans="1:16" ht="103.5"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1898"/>
      <c r="B109" s="1899"/>
      <c r="C109" s="106">
        <v>2014</v>
      </c>
      <c r="D109" s="31"/>
      <c r="E109" s="174"/>
      <c r="F109" s="175"/>
      <c r="G109" s="175"/>
      <c r="H109" s="175"/>
      <c r="I109" s="175"/>
      <c r="J109" s="175"/>
      <c r="K109" s="175"/>
      <c r="L109" s="176"/>
      <c r="M109" s="185"/>
      <c r="N109" s="185"/>
    </row>
    <row r="110" spans="1:16">
      <c r="A110" s="1891"/>
      <c r="B110" s="1899"/>
      <c r="C110" s="110">
        <v>2015</v>
      </c>
      <c r="D110" s="38"/>
      <c r="E110" s="177"/>
      <c r="F110" s="178"/>
      <c r="G110" s="178"/>
      <c r="H110" s="178"/>
      <c r="I110" s="178"/>
      <c r="J110" s="178"/>
      <c r="K110" s="178"/>
      <c r="L110" s="179"/>
      <c r="M110" s="185"/>
      <c r="N110" s="185"/>
    </row>
    <row r="111" spans="1:16">
      <c r="A111" s="1891"/>
      <c r="B111" s="1899"/>
      <c r="C111" s="110">
        <v>2016</v>
      </c>
      <c r="D111" s="38"/>
      <c r="E111" s="177"/>
      <c r="F111" s="178"/>
      <c r="G111" s="178"/>
      <c r="H111" s="178"/>
      <c r="I111" s="178"/>
      <c r="J111" s="178"/>
      <c r="K111" s="178"/>
      <c r="L111" s="179"/>
      <c r="M111" s="185"/>
      <c r="N111" s="185"/>
    </row>
    <row r="112" spans="1:16">
      <c r="A112" s="1891"/>
      <c r="B112" s="1899"/>
      <c r="C112" s="110">
        <v>2017</v>
      </c>
      <c r="D112" s="38"/>
      <c r="E112" s="177"/>
      <c r="F112" s="178"/>
      <c r="G112" s="178"/>
      <c r="H112" s="178"/>
      <c r="I112" s="178"/>
      <c r="J112" s="178"/>
      <c r="K112" s="178"/>
      <c r="L112" s="179"/>
      <c r="M112" s="185"/>
      <c r="N112" s="185"/>
    </row>
    <row r="113" spans="1:14">
      <c r="A113" s="1891"/>
      <c r="B113" s="1899"/>
      <c r="C113" s="110">
        <v>2018</v>
      </c>
      <c r="D113" s="38"/>
      <c r="E113" s="177"/>
      <c r="F113" s="178"/>
      <c r="G113" s="178"/>
      <c r="H113" s="178"/>
      <c r="I113" s="178"/>
      <c r="J113" s="178"/>
      <c r="K113" s="178"/>
      <c r="L113" s="179"/>
      <c r="M113" s="185"/>
      <c r="N113" s="185"/>
    </row>
    <row r="114" spans="1:14">
      <c r="A114" s="1891"/>
      <c r="B114" s="1899"/>
      <c r="C114" s="110">
        <v>2019</v>
      </c>
      <c r="D114" s="38"/>
      <c r="E114" s="177"/>
      <c r="F114" s="178"/>
      <c r="G114" s="178"/>
      <c r="H114" s="178"/>
      <c r="I114" s="178"/>
      <c r="J114" s="178"/>
      <c r="K114" s="178"/>
      <c r="L114" s="179"/>
      <c r="M114" s="185"/>
      <c r="N114" s="185"/>
    </row>
    <row r="115" spans="1:14">
      <c r="A115" s="1891"/>
      <c r="B115" s="1899"/>
      <c r="C115" s="110">
        <v>2020</v>
      </c>
      <c r="D115" s="38"/>
      <c r="E115" s="177"/>
      <c r="F115" s="178"/>
      <c r="G115" s="178"/>
      <c r="H115" s="178"/>
      <c r="I115" s="178"/>
      <c r="J115" s="178"/>
      <c r="K115" s="178"/>
      <c r="L115" s="179"/>
      <c r="M115" s="185"/>
      <c r="N115" s="185"/>
    </row>
    <row r="116" spans="1:14" ht="25.5" customHeight="1" thickBot="1">
      <c r="A116" s="1915"/>
      <c r="B116" s="1900"/>
      <c r="C116" s="113" t="s">
        <v>13</v>
      </c>
      <c r="D116" s="116">
        <f t="shared" ref="D116:I116" si="9">SUM(D109:D115)</f>
        <v>0</v>
      </c>
      <c r="E116" s="180">
        <f t="shared" si="9"/>
        <v>0</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051" t="s">
        <v>81</v>
      </c>
      <c r="B118" s="2052" t="s">
        <v>179</v>
      </c>
      <c r="C118" s="2058" t="s">
        <v>9</v>
      </c>
      <c r="D118" s="1926" t="s">
        <v>82</v>
      </c>
      <c r="E118" s="162" t="s">
        <v>79</v>
      </c>
      <c r="F118" s="549"/>
      <c r="G118" s="549"/>
      <c r="H118" s="549"/>
      <c r="I118" s="549"/>
      <c r="J118" s="549"/>
      <c r="K118" s="549"/>
      <c r="L118" s="550"/>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1898"/>
      <c r="B120" s="1899"/>
      <c r="C120" s="106">
        <v>2014</v>
      </c>
      <c r="D120" s="31"/>
      <c r="E120" s="174"/>
      <c r="F120" s="175"/>
      <c r="G120" s="175"/>
      <c r="H120" s="175"/>
      <c r="I120" s="175"/>
      <c r="J120" s="175"/>
      <c r="K120" s="175"/>
      <c r="L120" s="176"/>
      <c r="M120" s="185"/>
      <c r="N120" s="185"/>
    </row>
    <row r="121" spans="1:14">
      <c r="A121" s="1891"/>
      <c r="B121" s="1899"/>
      <c r="C121" s="110">
        <v>2015</v>
      </c>
      <c r="D121" s="38"/>
      <c r="E121" s="177"/>
      <c r="F121" s="178"/>
      <c r="G121" s="178"/>
      <c r="H121" s="178"/>
      <c r="I121" s="178"/>
      <c r="J121" s="178"/>
      <c r="K121" s="178"/>
      <c r="L121" s="179"/>
      <c r="M121" s="185"/>
      <c r="N121" s="185"/>
    </row>
    <row r="122" spans="1:14">
      <c r="A122" s="1891"/>
      <c r="B122" s="1899"/>
      <c r="C122" s="110">
        <v>2016</v>
      </c>
      <c r="D122" s="38"/>
      <c r="E122" s="177"/>
      <c r="F122" s="178"/>
      <c r="G122" s="178"/>
      <c r="H122" s="178"/>
      <c r="I122" s="178"/>
      <c r="J122" s="178"/>
      <c r="K122" s="178"/>
      <c r="L122" s="179"/>
      <c r="M122" s="185"/>
      <c r="N122" s="185"/>
    </row>
    <row r="123" spans="1:14">
      <c r="A123" s="1891"/>
      <c r="B123" s="1899"/>
      <c r="C123" s="110">
        <v>2017</v>
      </c>
      <c r="D123" s="38"/>
      <c r="E123" s="177"/>
      <c r="F123" s="178"/>
      <c r="G123" s="178"/>
      <c r="H123" s="178"/>
      <c r="I123" s="178"/>
      <c r="J123" s="178"/>
      <c r="K123" s="178"/>
      <c r="L123" s="179"/>
      <c r="M123" s="185"/>
      <c r="N123" s="185"/>
    </row>
    <row r="124" spans="1:14">
      <c r="A124" s="1891"/>
      <c r="B124" s="1899"/>
      <c r="C124" s="110">
        <v>2018</v>
      </c>
      <c r="D124" s="38"/>
      <c r="E124" s="177"/>
      <c r="F124" s="178"/>
      <c r="G124" s="178"/>
      <c r="H124" s="178"/>
      <c r="I124" s="178"/>
      <c r="J124" s="178"/>
      <c r="K124" s="178"/>
      <c r="L124" s="179"/>
      <c r="M124" s="185"/>
      <c r="N124" s="185"/>
    </row>
    <row r="125" spans="1:14">
      <c r="A125" s="1891"/>
      <c r="B125" s="1899"/>
      <c r="C125" s="110">
        <v>2019</v>
      </c>
      <c r="D125" s="38"/>
      <c r="E125" s="177"/>
      <c r="F125" s="178"/>
      <c r="G125" s="178"/>
      <c r="H125" s="178"/>
      <c r="I125" s="178"/>
      <c r="J125" s="178"/>
      <c r="K125" s="178"/>
      <c r="L125" s="179"/>
      <c r="M125" s="185"/>
      <c r="N125" s="185"/>
    </row>
    <row r="126" spans="1:14">
      <c r="A126" s="1891"/>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051" t="s">
        <v>84</v>
      </c>
      <c r="B129" s="2052" t="s">
        <v>179</v>
      </c>
      <c r="C129" s="552" t="s">
        <v>9</v>
      </c>
      <c r="D129" s="189" t="s">
        <v>85</v>
      </c>
      <c r="E129" s="553"/>
      <c r="F129" s="553"/>
      <c r="G129" s="191"/>
      <c r="H129" s="185"/>
      <c r="I129" s="185"/>
      <c r="J129" s="185"/>
      <c r="K129" s="185"/>
      <c r="L129" s="185"/>
      <c r="M129" s="185"/>
      <c r="N129" s="185"/>
    </row>
    <row r="130" spans="1:16" ht="77.25" customHeight="1">
      <c r="A130" s="1910"/>
      <c r="B130" s="1912"/>
      <c r="C130" s="192"/>
      <c r="D130" s="166" t="s">
        <v>86</v>
      </c>
      <c r="E130" s="193" t="s">
        <v>87</v>
      </c>
      <c r="F130" s="167" t="s">
        <v>88</v>
      </c>
      <c r="G130" s="194" t="s">
        <v>13</v>
      </c>
      <c r="H130" s="185"/>
      <c r="I130" s="185"/>
      <c r="J130" s="185"/>
      <c r="K130" s="185"/>
      <c r="L130" s="185"/>
      <c r="M130" s="185"/>
      <c r="N130" s="185"/>
    </row>
    <row r="131" spans="1:16" ht="15" customHeight="1">
      <c r="A131" s="1874"/>
      <c r="B131" s="1855"/>
      <c r="C131" s="106">
        <v>2015</v>
      </c>
      <c r="D131" s="30">
        <v>15</v>
      </c>
      <c r="E131" s="31"/>
      <c r="F131" s="31"/>
      <c r="G131" s="195">
        <f t="shared" ref="G131:G136" si="11">SUM(D131:F131)</f>
        <v>15</v>
      </c>
      <c r="H131" s="185"/>
      <c r="I131" s="185"/>
      <c r="J131" s="185"/>
      <c r="K131" s="185"/>
      <c r="L131" s="185"/>
      <c r="M131" s="185"/>
      <c r="N131" s="185"/>
    </row>
    <row r="132" spans="1:16">
      <c r="A132" s="1854"/>
      <c r="B132" s="1855"/>
      <c r="C132" s="110">
        <v>2016</v>
      </c>
      <c r="D132" s="37">
        <v>74</v>
      </c>
      <c r="E132" s="38"/>
      <c r="F132" s="38"/>
      <c r="G132" s="195">
        <f t="shared" si="11"/>
        <v>74</v>
      </c>
      <c r="H132" s="185"/>
      <c r="I132" s="185"/>
      <c r="J132" s="185"/>
      <c r="K132" s="185"/>
      <c r="L132" s="185"/>
      <c r="M132" s="185"/>
      <c r="N132" s="185"/>
    </row>
    <row r="133" spans="1:16">
      <c r="A133" s="1854"/>
      <c r="B133" s="1855"/>
      <c r="C133" s="110">
        <v>2017</v>
      </c>
      <c r="D133" s="37">
        <v>55</v>
      </c>
      <c r="E133" s="38"/>
      <c r="F133" s="38"/>
      <c r="G133" s="195">
        <f t="shared" si="11"/>
        <v>55</v>
      </c>
      <c r="H133" s="185"/>
      <c r="I133" s="185"/>
      <c r="J133" s="185"/>
      <c r="K133" s="185"/>
      <c r="L133" s="185"/>
      <c r="M133" s="185"/>
      <c r="N133" s="185"/>
    </row>
    <row r="134" spans="1:16">
      <c r="A134" s="1854"/>
      <c r="B134" s="1855"/>
      <c r="C134" s="110">
        <v>2018</v>
      </c>
      <c r="D134" s="37"/>
      <c r="E134" s="38"/>
      <c r="F134" s="38"/>
      <c r="G134" s="195">
        <f t="shared" si="11"/>
        <v>0</v>
      </c>
      <c r="H134" s="185"/>
      <c r="I134" s="185"/>
      <c r="J134" s="185"/>
      <c r="K134" s="185"/>
      <c r="L134" s="185"/>
      <c r="M134" s="185"/>
      <c r="N134" s="185"/>
    </row>
    <row r="135" spans="1:16">
      <c r="A135" s="1854"/>
      <c r="B135" s="1855"/>
      <c r="C135" s="110">
        <v>2019</v>
      </c>
      <c r="D135" s="37"/>
      <c r="E135" s="38"/>
      <c r="F135" s="38"/>
      <c r="G135" s="195">
        <f t="shared" si="11"/>
        <v>0</v>
      </c>
      <c r="H135" s="185"/>
      <c r="I135" s="185"/>
      <c r="J135" s="185"/>
      <c r="K135" s="185"/>
      <c r="L135" s="185"/>
      <c r="M135" s="185"/>
      <c r="N135" s="185"/>
    </row>
    <row r="136" spans="1:16">
      <c r="A136" s="1854"/>
      <c r="B136" s="1855"/>
      <c r="C136" s="110">
        <v>2020</v>
      </c>
      <c r="D136" s="37"/>
      <c r="E136" s="38"/>
      <c r="F136" s="38"/>
      <c r="G136" s="195">
        <f t="shared" si="11"/>
        <v>0</v>
      </c>
      <c r="H136" s="185"/>
      <c r="I136" s="185"/>
      <c r="J136" s="185"/>
      <c r="K136" s="185"/>
      <c r="L136" s="185"/>
      <c r="M136" s="185"/>
      <c r="N136" s="185"/>
    </row>
    <row r="137" spans="1:16" ht="17.25" customHeight="1" thickBot="1">
      <c r="A137" s="1856"/>
      <c r="B137" s="1857"/>
      <c r="C137" s="113" t="s">
        <v>13</v>
      </c>
      <c r="D137" s="139">
        <f>SUM(D131:D136)</f>
        <v>144</v>
      </c>
      <c r="E137" s="139">
        <f t="shared" ref="E137:F137" si="12">SUM(E131:E136)</f>
        <v>0</v>
      </c>
      <c r="F137" s="139">
        <f t="shared" si="12"/>
        <v>0</v>
      </c>
      <c r="G137" s="196">
        <f>SUM(G131:G136)</f>
        <v>144</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050" t="s">
        <v>91</v>
      </c>
      <c r="B142" s="2048" t="s">
        <v>179</v>
      </c>
      <c r="C142" s="2043" t="s">
        <v>9</v>
      </c>
      <c r="D142" s="554" t="s">
        <v>92</v>
      </c>
      <c r="E142" s="555"/>
      <c r="F142" s="555"/>
      <c r="G142" s="555"/>
      <c r="H142" s="555"/>
      <c r="I142" s="556"/>
      <c r="J142" s="2044" t="s">
        <v>93</v>
      </c>
      <c r="K142" s="2045"/>
      <c r="L142" s="2045"/>
      <c r="M142" s="2045"/>
      <c r="N142" s="2046"/>
      <c r="O142" s="165"/>
      <c r="P142" s="165"/>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c r="B144" s="1899"/>
      <c r="C144" s="106">
        <v>2014</v>
      </c>
      <c r="D144" s="30"/>
      <c r="E144" s="30"/>
      <c r="F144" s="31"/>
      <c r="G144" s="175"/>
      <c r="H144" s="175"/>
      <c r="I144" s="213">
        <f>D144+F144+G144+H144</f>
        <v>0</v>
      </c>
      <c r="J144" s="214"/>
      <c r="K144" s="215"/>
      <c r="L144" s="214"/>
      <c r="M144" s="215"/>
      <c r="N144" s="216"/>
      <c r="O144" s="165"/>
      <c r="P144" s="165"/>
    </row>
    <row r="145" spans="1:16" ht="19.5" customHeight="1">
      <c r="A145" s="1891"/>
      <c r="B145" s="1899"/>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1891"/>
      <c r="B146" s="1899"/>
      <c r="C146" s="110">
        <v>2016</v>
      </c>
      <c r="D146" s="37"/>
      <c r="E146" s="37"/>
      <c r="F146" s="38"/>
      <c r="G146" s="178"/>
      <c r="H146" s="178"/>
      <c r="I146" s="213">
        <f t="shared" si="13"/>
        <v>0</v>
      </c>
      <c r="J146" s="217"/>
      <c r="K146" s="218"/>
      <c r="L146" s="217"/>
      <c r="M146" s="218"/>
      <c r="N146" s="219"/>
      <c r="O146" s="165"/>
      <c r="P146" s="165"/>
    </row>
    <row r="147" spans="1:16" ht="17.25" customHeight="1">
      <c r="A147" s="1891"/>
      <c r="B147" s="1899"/>
      <c r="C147" s="110">
        <v>2017</v>
      </c>
      <c r="D147" s="37"/>
      <c r="E147" s="37"/>
      <c r="F147" s="38"/>
      <c r="G147" s="178"/>
      <c r="H147" s="178"/>
      <c r="I147" s="213">
        <f t="shared" si="13"/>
        <v>0</v>
      </c>
      <c r="J147" s="217"/>
      <c r="K147" s="218"/>
      <c r="L147" s="217"/>
      <c r="M147" s="218"/>
      <c r="N147" s="219"/>
      <c r="O147" s="165"/>
      <c r="P147" s="165"/>
    </row>
    <row r="148" spans="1:16" ht="19.5" customHeight="1">
      <c r="A148" s="1891"/>
      <c r="B148" s="1899"/>
      <c r="C148" s="110">
        <v>2018</v>
      </c>
      <c r="D148" s="37"/>
      <c r="E148" s="37"/>
      <c r="F148" s="38"/>
      <c r="G148" s="178"/>
      <c r="H148" s="178"/>
      <c r="I148" s="213">
        <f t="shared" si="13"/>
        <v>0</v>
      </c>
      <c r="J148" s="217"/>
      <c r="K148" s="218"/>
      <c r="L148" s="217"/>
      <c r="M148" s="218"/>
      <c r="N148" s="219"/>
      <c r="O148" s="165"/>
      <c r="P148" s="165"/>
    </row>
    <row r="149" spans="1:16" ht="19.5" customHeight="1">
      <c r="A149" s="1891"/>
      <c r="B149" s="1899"/>
      <c r="C149" s="110">
        <v>2019</v>
      </c>
      <c r="D149" s="37"/>
      <c r="E149" s="37"/>
      <c r="F149" s="38"/>
      <c r="G149" s="178"/>
      <c r="H149" s="178"/>
      <c r="I149" s="213">
        <f t="shared" si="13"/>
        <v>0</v>
      </c>
      <c r="J149" s="217"/>
      <c r="K149" s="218"/>
      <c r="L149" s="217"/>
      <c r="M149" s="218"/>
      <c r="N149" s="219"/>
      <c r="O149" s="165"/>
      <c r="P149" s="165"/>
    </row>
    <row r="150" spans="1:16" ht="18.75" customHeight="1">
      <c r="A150" s="1891"/>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2047" t="s">
        <v>105</v>
      </c>
      <c r="B153" s="2048" t="s">
        <v>179</v>
      </c>
      <c r="C153" s="2049" t="s">
        <v>9</v>
      </c>
      <c r="D153" s="557" t="s">
        <v>106</v>
      </c>
      <c r="E153" s="557"/>
      <c r="F153" s="558"/>
      <c r="G153" s="558"/>
      <c r="H153" s="557" t="s">
        <v>107</v>
      </c>
      <c r="I153" s="557"/>
      <c r="J153" s="559"/>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1898"/>
      <c r="B155" s="1899"/>
      <c r="C155" s="233">
        <v>2014</v>
      </c>
      <c r="D155" s="214"/>
      <c r="E155" s="175"/>
      <c r="F155" s="215"/>
      <c r="G155" s="213">
        <f>SUM(D155:F155)</f>
        <v>0</v>
      </c>
      <c r="H155" s="214"/>
      <c r="I155" s="175"/>
      <c r="J155" s="176"/>
      <c r="O155" s="165"/>
      <c r="P155" s="165"/>
    </row>
    <row r="156" spans="1:16" ht="19.5" customHeight="1">
      <c r="A156" s="1891"/>
      <c r="B156" s="1899"/>
      <c r="C156" s="234">
        <v>2015</v>
      </c>
      <c r="D156" s="217"/>
      <c r="E156" s="178"/>
      <c r="F156" s="218"/>
      <c r="G156" s="213">
        <f t="shared" ref="G156:G161" si="15">SUM(D156:F156)</f>
        <v>0</v>
      </c>
      <c r="H156" s="217"/>
      <c r="I156" s="178"/>
      <c r="J156" s="179"/>
      <c r="O156" s="165"/>
      <c r="P156" s="165"/>
    </row>
    <row r="157" spans="1:16" ht="17.25" customHeight="1">
      <c r="A157" s="1891"/>
      <c r="B157" s="1899"/>
      <c r="C157" s="234">
        <v>2016</v>
      </c>
      <c r="D157" s="217"/>
      <c r="E157" s="178"/>
      <c r="F157" s="218"/>
      <c r="G157" s="213">
        <f t="shared" si="15"/>
        <v>0</v>
      </c>
      <c r="H157" s="217"/>
      <c r="I157" s="178"/>
      <c r="J157" s="179"/>
      <c r="O157" s="165"/>
      <c r="P157" s="165"/>
    </row>
    <row r="158" spans="1:16" ht="15" customHeight="1">
      <c r="A158" s="1891"/>
      <c r="B158" s="1899"/>
      <c r="C158" s="234">
        <v>2017</v>
      </c>
      <c r="D158" s="217"/>
      <c r="E158" s="178"/>
      <c r="F158" s="218"/>
      <c r="G158" s="213">
        <f t="shared" si="15"/>
        <v>0</v>
      </c>
      <c r="H158" s="217"/>
      <c r="I158" s="178"/>
      <c r="J158" s="179"/>
      <c r="O158" s="165"/>
      <c r="P158" s="165"/>
    </row>
    <row r="159" spans="1:16" ht="19.5" customHeight="1">
      <c r="A159" s="1891"/>
      <c r="B159" s="1899"/>
      <c r="C159" s="234">
        <v>2018</v>
      </c>
      <c r="D159" s="217"/>
      <c r="E159" s="178"/>
      <c r="F159" s="218"/>
      <c r="G159" s="213">
        <f t="shared" si="15"/>
        <v>0</v>
      </c>
      <c r="H159" s="217"/>
      <c r="I159" s="178"/>
      <c r="J159" s="179"/>
      <c r="O159" s="165"/>
      <c r="P159" s="165"/>
    </row>
    <row r="160" spans="1:16" ht="15" customHeight="1">
      <c r="A160" s="1891"/>
      <c r="B160" s="1899"/>
      <c r="C160" s="234">
        <v>2019</v>
      </c>
      <c r="D160" s="217"/>
      <c r="E160" s="178"/>
      <c r="F160" s="218"/>
      <c r="G160" s="213">
        <f t="shared" si="15"/>
        <v>0</v>
      </c>
      <c r="H160" s="217"/>
      <c r="I160" s="178"/>
      <c r="J160" s="179"/>
      <c r="O160" s="165"/>
      <c r="P160" s="165"/>
    </row>
    <row r="161" spans="1:18" ht="17.25" customHeight="1">
      <c r="A161" s="1891"/>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560"/>
      <c r="F163" s="165"/>
      <c r="G163" s="165"/>
      <c r="H163" s="165"/>
      <c r="I163" s="165"/>
      <c r="J163" s="241"/>
      <c r="K163" s="242"/>
    </row>
    <row r="164" spans="1:18" ht="95.25" customHeight="1">
      <c r="A164" s="243" t="s">
        <v>115</v>
      </c>
      <c r="B164" s="405" t="s">
        <v>181</v>
      </c>
      <c r="C164" s="245" t="s">
        <v>9</v>
      </c>
      <c r="D164" s="246" t="s">
        <v>117</v>
      </c>
      <c r="E164" s="246" t="s">
        <v>118</v>
      </c>
      <c r="F164" s="561" t="s">
        <v>119</v>
      </c>
      <c r="G164" s="246" t="s">
        <v>120</v>
      </c>
      <c r="H164" s="246" t="s">
        <v>121</v>
      </c>
      <c r="I164" s="248" t="s">
        <v>122</v>
      </c>
      <c r="J164" s="249" t="s">
        <v>123</v>
      </c>
      <c r="K164" s="249" t="s">
        <v>124</v>
      </c>
      <c r="L164" s="406"/>
    </row>
    <row r="165" spans="1:18" ht="15.75" customHeight="1">
      <c r="A165" s="1878"/>
      <c r="B165" s="1879"/>
      <c r="C165" s="251">
        <v>2014</v>
      </c>
      <c r="D165" s="175"/>
      <c r="E165" s="175"/>
      <c r="F165" s="175"/>
      <c r="G165" s="175"/>
      <c r="H165" s="175"/>
      <c r="I165" s="176"/>
      <c r="J165" s="252">
        <f>SUM(D165,F165,H165)</f>
        <v>0</v>
      </c>
      <c r="K165" s="253">
        <f>SUM(E165,G165,I165)</f>
        <v>0</v>
      </c>
      <c r="L165" s="406"/>
    </row>
    <row r="166" spans="1:18">
      <c r="A166" s="1880"/>
      <c r="B166" s="1881"/>
      <c r="C166" s="254">
        <v>2015</v>
      </c>
      <c r="D166" s="255"/>
      <c r="E166" s="255"/>
      <c r="F166" s="255"/>
      <c r="G166" s="255"/>
      <c r="H166" s="255"/>
      <c r="I166" s="256"/>
      <c r="J166" s="407">
        <f t="shared" ref="J166:K171" si="17">SUM(D166,F166,H166)</f>
        <v>0</v>
      </c>
      <c r="K166" s="408">
        <f t="shared" si="17"/>
        <v>0</v>
      </c>
      <c r="L166" s="406"/>
    </row>
    <row r="167" spans="1:18">
      <c r="A167" s="1880"/>
      <c r="B167" s="1881"/>
      <c r="C167" s="254">
        <v>2016</v>
      </c>
      <c r="D167" s="255"/>
      <c r="E167" s="255"/>
      <c r="F167" s="255"/>
      <c r="G167" s="255"/>
      <c r="H167" s="255"/>
      <c r="I167" s="256"/>
      <c r="J167" s="407">
        <f t="shared" si="17"/>
        <v>0</v>
      </c>
      <c r="K167" s="408">
        <f t="shared" si="17"/>
        <v>0</v>
      </c>
    </row>
    <row r="168" spans="1:18">
      <c r="A168" s="1880"/>
      <c r="B168" s="1881"/>
      <c r="C168" s="254">
        <v>2017</v>
      </c>
      <c r="D168" s="255"/>
      <c r="E168" s="165"/>
      <c r="F168" s="255"/>
      <c r="G168" s="255"/>
      <c r="H168" s="255"/>
      <c r="I168" s="256"/>
      <c r="J168" s="407">
        <f t="shared" si="17"/>
        <v>0</v>
      </c>
      <c r="K168" s="408">
        <f t="shared" si="17"/>
        <v>0</v>
      </c>
    </row>
    <row r="169" spans="1:18">
      <c r="A169" s="1880"/>
      <c r="B169" s="1881"/>
      <c r="C169" s="262">
        <v>2018</v>
      </c>
      <c r="D169" s="255"/>
      <c r="E169" s="255"/>
      <c r="F169" s="255"/>
      <c r="G169" s="263"/>
      <c r="H169" s="255"/>
      <c r="I169" s="256"/>
      <c r="J169" s="407">
        <f t="shared" si="17"/>
        <v>0</v>
      </c>
      <c r="K169" s="408">
        <f t="shared" si="17"/>
        <v>0</v>
      </c>
      <c r="L169" s="406"/>
    </row>
    <row r="170" spans="1:18">
      <c r="A170" s="1880"/>
      <c r="B170" s="1881"/>
      <c r="C170" s="254">
        <v>2019</v>
      </c>
      <c r="D170" s="165"/>
      <c r="E170" s="255"/>
      <c r="F170" s="255"/>
      <c r="G170" s="255"/>
      <c r="H170" s="263"/>
      <c r="I170" s="256"/>
      <c r="J170" s="407">
        <f t="shared" si="17"/>
        <v>0</v>
      </c>
      <c r="K170" s="408">
        <f t="shared" si="17"/>
        <v>0</v>
      </c>
      <c r="L170" s="406"/>
    </row>
    <row r="171" spans="1:18">
      <c r="A171" s="1880"/>
      <c r="B171" s="1881"/>
      <c r="C171" s="262">
        <v>2020</v>
      </c>
      <c r="D171" s="255"/>
      <c r="E171" s="255"/>
      <c r="F171" s="255"/>
      <c r="G171" s="255"/>
      <c r="H171" s="255"/>
      <c r="I171" s="256"/>
      <c r="J171" s="407">
        <f t="shared" si="17"/>
        <v>0</v>
      </c>
      <c r="K171" s="408">
        <f t="shared" si="17"/>
        <v>0</v>
      </c>
      <c r="L171" s="406"/>
    </row>
    <row r="172" spans="1:18" ht="41.25" customHeight="1" thickBot="1">
      <c r="A172" s="1882"/>
      <c r="B172" s="1883"/>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406"/>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039" t="s">
        <v>127</v>
      </c>
      <c r="B176" s="2037" t="s">
        <v>182</v>
      </c>
      <c r="C176" s="2040" t="s">
        <v>9</v>
      </c>
      <c r="D176" s="273" t="s">
        <v>128</v>
      </c>
      <c r="E176" s="562"/>
      <c r="F176" s="562"/>
      <c r="G176" s="563"/>
      <c r="H176" s="276"/>
      <c r="I176" s="1888" t="s">
        <v>129</v>
      </c>
      <c r="J176" s="2041"/>
      <c r="K176" s="2041"/>
      <c r="L176" s="2041"/>
      <c r="M176" s="2041"/>
      <c r="N176" s="2041"/>
      <c r="O176" s="2042"/>
    </row>
    <row r="177" spans="1:15" s="56" customFormat="1" ht="129.7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1891"/>
      <c r="B178" s="1899"/>
      <c r="C178" s="106">
        <v>2014</v>
      </c>
      <c r="D178" s="30"/>
      <c r="E178" s="31"/>
      <c r="F178" s="31"/>
      <c r="G178" s="284">
        <f>SUM(D178:F178)</f>
        <v>0</v>
      </c>
      <c r="H178" s="155"/>
      <c r="I178" s="155"/>
      <c r="J178" s="31"/>
      <c r="K178" s="31"/>
      <c r="L178" s="31"/>
      <c r="M178" s="31"/>
      <c r="N178" s="31"/>
      <c r="O178" s="34"/>
    </row>
    <row r="179" spans="1:15">
      <c r="A179" s="1891"/>
      <c r="B179" s="1899"/>
      <c r="C179" s="110">
        <v>2015</v>
      </c>
      <c r="D179" s="37">
        <v>10</v>
      </c>
      <c r="E179" s="38"/>
      <c r="F179" s="38"/>
      <c r="G179" s="284">
        <f t="shared" ref="G179:G184" si="19">SUM(D179:F179)</f>
        <v>10</v>
      </c>
      <c r="H179" s="411">
        <v>10</v>
      </c>
      <c r="I179" s="112"/>
      <c r="J179" s="38"/>
      <c r="K179" s="38"/>
      <c r="L179" s="38">
        <v>8</v>
      </c>
      <c r="M179" s="38">
        <v>2</v>
      </c>
      <c r="N179" s="38"/>
      <c r="O179" s="88"/>
    </row>
    <row r="180" spans="1:15">
      <c r="A180" s="1891"/>
      <c r="B180" s="1899"/>
      <c r="C180" s="110">
        <v>2016</v>
      </c>
      <c r="D180" s="37">
        <v>35</v>
      </c>
      <c r="E180" s="38">
        <v>1</v>
      </c>
      <c r="F180" s="38"/>
      <c r="G180" s="284">
        <f t="shared" si="19"/>
        <v>36</v>
      </c>
      <c r="H180" s="411">
        <v>38</v>
      </c>
      <c r="I180" s="112"/>
      <c r="J180" s="38">
        <v>6</v>
      </c>
      <c r="K180" s="38"/>
      <c r="L180" s="38">
        <v>25</v>
      </c>
      <c r="M180" s="38">
        <v>5</v>
      </c>
      <c r="N180" s="38"/>
      <c r="O180" s="88"/>
    </row>
    <row r="181" spans="1:15">
      <c r="A181" s="1891"/>
      <c r="B181" s="1899"/>
      <c r="C181" s="110">
        <v>2017</v>
      </c>
      <c r="D181" s="37">
        <v>22</v>
      </c>
      <c r="E181" s="38">
        <v>4</v>
      </c>
      <c r="F181" s="38"/>
      <c r="G181" s="284">
        <f t="shared" si="19"/>
        <v>26</v>
      </c>
      <c r="H181" s="411">
        <v>33</v>
      </c>
      <c r="I181" s="112"/>
      <c r="J181" s="38"/>
      <c r="K181" s="38">
        <v>2</v>
      </c>
      <c r="L181" s="37">
        <v>11</v>
      </c>
      <c r="M181" s="38">
        <v>3</v>
      </c>
      <c r="N181" s="38"/>
      <c r="O181" s="88">
        <v>10</v>
      </c>
    </row>
    <row r="182" spans="1:15">
      <c r="A182" s="1891"/>
      <c r="B182" s="1899"/>
      <c r="C182" s="110">
        <v>2018</v>
      </c>
      <c r="D182" s="37"/>
      <c r="E182" s="38"/>
      <c r="F182" s="38"/>
      <c r="G182" s="284">
        <f t="shared" si="19"/>
        <v>0</v>
      </c>
      <c r="H182" s="411"/>
      <c r="I182" s="112"/>
      <c r="J182" s="38"/>
      <c r="K182" s="38"/>
      <c r="L182" s="38"/>
      <c r="M182" s="38"/>
      <c r="N182" s="38"/>
      <c r="O182" s="88"/>
    </row>
    <row r="183" spans="1:15">
      <c r="A183" s="1891"/>
      <c r="B183" s="1899"/>
      <c r="C183" s="110">
        <v>2019</v>
      </c>
      <c r="D183" s="37"/>
      <c r="E183" s="38"/>
      <c r="F183" s="38"/>
      <c r="G183" s="284">
        <f t="shared" si="19"/>
        <v>0</v>
      </c>
      <c r="H183" s="411"/>
      <c r="I183" s="112"/>
      <c r="J183" s="38"/>
      <c r="K183" s="38"/>
      <c r="L183" s="38"/>
      <c r="M183" s="38"/>
      <c r="N183" s="38"/>
      <c r="O183" s="88"/>
    </row>
    <row r="184" spans="1:15">
      <c r="A184" s="1891"/>
      <c r="B184" s="1899"/>
      <c r="C184" s="110">
        <v>2020</v>
      </c>
      <c r="D184" s="37"/>
      <c r="E184" s="38"/>
      <c r="F184" s="38"/>
      <c r="G184" s="284">
        <f t="shared" si="19"/>
        <v>0</v>
      </c>
      <c r="H184" s="411"/>
      <c r="I184" s="112"/>
      <c r="J184" s="38"/>
      <c r="K184" s="38"/>
      <c r="L184" s="38"/>
      <c r="M184" s="38"/>
      <c r="N184" s="38"/>
      <c r="O184" s="88"/>
    </row>
    <row r="185" spans="1:15" ht="45" customHeight="1" thickBot="1">
      <c r="A185" s="1893"/>
      <c r="B185" s="1900"/>
      <c r="C185" s="113" t="s">
        <v>13</v>
      </c>
      <c r="D185" s="139">
        <f>SUM(D178:D184)</f>
        <v>67</v>
      </c>
      <c r="E185" s="116">
        <f>SUM(E178:E184)</f>
        <v>5</v>
      </c>
      <c r="F185" s="116">
        <f>SUM(F178:F184)</f>
        <v>0</v>
      </c>
      <c r="G185" s="220">
        <f t="shared" ref="G185:O185" si="20">SUM(G178:G184)</f>
        <v>72</v>
      </c>
      <c r="H185" s="285">
        <f t="shared" si="20"/>
        <v>81</v>
      </c>
      <c r="I185" s="115">
        <f t="shared" si="20"/>
        <v>0</v>
      </c>
      <c r="J185" s="116">
        <f t="shared" si="20"/>
        <v>6</v>
      </c>
      <c r="K185" s="116">
        <f t="shared" si="20"/>
        <v>2</v>
      </c>
      <c r="L185" s="116">
        <f t="shared" si="20"/>
        <v>44</v>
      </c>
      <c r="M185" s="116">
        <f t="shared" si="20"/>
        <v>10</v>
      </c>
      <c r="N185" s="116">
        <f t="shared" si="20"/>
        <v>0</v>
      </c>
      <c r="O185" s="117">
        <f t="shared" si="20"/>
        <v>10</v>
      </c>
    </row>
    <row r="186" spans="1:15" ht="33" customHeight="1" thickBot="1"/>
    <row r="187" spans="1:15" ht="19.5" customHeight="1">
      <c r="A187" s="1861" t="s">
        <v>137</v>
      </c>
      <c r="B187" s="2037" t="s">
        <v>182</v>
      </c>
      <c r="C187" s="1865" t="s">
        <v>9</v>
      </c>
      <c r="D187" s="1867" t="s">
        <v>138</v>
      </c>
      <c r="E187" s="2038"/>
      <c r="F187" s="2038"/>
      <c r="G187" s="1869"/>
      <c r="H187" s="1870"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1976"/>
      <c r="B189" s="1977"/>
      <c r="C189" s="290">
        <v>2014</v>
      </c>
      <c r="D189" s="133"/>
      <c r="E189" s="109"/>
      <c r="F189" s="109"/>
      <c r="G189" s="291">
        <f>SUM(D189:F189)</f>
        <v>0</v>
      </c>
      <c r="H189" s="108"/>
      <c r="I189" s="109"/>
      <c r="J189" s="109"/>
      <c r="K189" s="109"/>
      <c r="L189" s="134"/>
    </row>
    <row r="190" spans="1:15">
      <c r="A190" s="1978"/>
      <c r="B190" s="1855"/>
      <c r="C190" s="73">
        <v>2015</v>
      </c>
      <c r="D190" s="37">
        <v>523</v>
      </c>
      <c r="E190" s="38"/>
      <c r="F190" s="38"/>
      <c r="G190" s="291">
        <f t="shared" ref="G190:G195" si="21">SUM(D190:F190)</f>
        <v>523</v>
      </c>
      <c r="H190" s="112"/>
      <c r="I190" s="38">
        <v>51</v>
      </c>
      <c r="J190" s="38"/>
      <c r="K190" s="38"/>
      <c r="L190" s="88">
        <v>472</v>
      </c>
    </row>
    <row r="191" spans="1:15">
      <c r="A191" s="1978"/>
      <c r="B191" s="1855"/>
      <c r="C191" s="73">
        <v>2016</v>
      </c>
      <c r="D191" s="37">
        <v>1440</v>
      </c>
      <c r="E191" s="38">
        <v>20</v>
      </c>
      <c r="F191" s="38"/>
      <c r="G191" s="291">
        <f t="shared" si="21"/>
        <v>1460</v>
      </c>
      <c r="H191" s="112"/>
      <c r="I191" s="38">
        <v>155</v>
      </c>
      <c r="J191" s="38"/>
      <c r="K191" s="38">
        <v>829</v>
      </c>
      <c r="L191" s="88">
        <v>476</v>
      </c>
    </row>
    <row r="192" spans="1:15">
      <c r="A192" s="1978"/>
      <c r="B192" s="1855"/>
      <c r="C192" s="73">
        <v>2017</v>
      </c>
      <c r="D192" s="37">
        <v>541</v>
      </c>
      <c r="E192" s="38">
        <v>86</v>
      </c>
      <c r="F192" s="38"/>
      <c r="G192" s="291">
        <f t="shared" si="21"/>
        <v>627</v>
      </c>
      <c r="H192" s="112"/>
      <c r="I192" s="38">
        <v>134</v>
      </c>
      <c r="J192" s="38"/>
      <c r="K192" s="38">
        <v>45</v>
      </c>
      <c r="L192" s="88">
        <v>448</v>
      </c>
    </row>
    <row r="193" spans="1:14">
      <c r="A193" s="1978"/>
      <c r="B193" s="1855"/>
      <c r="C193" s="73">
        <v>2018</v>
      </c>
      <c r="D193" s="37"/>
      <c r="E193" s="38"/>
      <c r="F193" s="38"/>
      <c r="G193" s="291">
        <f t="shared" si="21"/>
        <v>0</v>
      </c>
      <c r="H193" s="112"/>
      <c r="I193" s="38"/>
      <c r="J193" s="38"/>
      <c r="K193" s="38"/>
      <c r="L193" s="88"/>
    </row>
    <row r="194" spans="1:14">
      <c r="A194" s="1978"/>
      <c r="B194" s="1855"/>
      <c r="C194" s="73">
        <v>2019</v>
      </c>
      <c r="D194" s="37"/>
      <c r="E194" s="38"/>
      <c r="F194" s="38"/>
      <c r="G194" s="291">
        <f t="shared" si="21"/>
        <v>0</v>
      </c>
      <c r="H194" s="112"/>
      <c r="I194" s="38"/>
      <c r="J194" s="38"/>
      <c r="K194" s="38"/>
      <c r="L194" s="88"/>
    </row>
    <row r="195" spans="1:14">
      <c r="A195" s="1978"/>
      <c r="B195" s="1855"/>
      <c r="C195" s="73">
        <v>2020</v>
      </c>
      <c r="D195" s="37"/>
      <c r="E195" s="38"/>
      <c r="F195" s="38"/>
      <c r="G195" s="291">
        <f t="shared" si="21"/>
        <v>0</v>
      </c>
      <c r="H195" s="112"/>
      <c r="I195" s="38"/>
      <c r="J195" s="38"/>
      <c r="K195" s="38"/>
      <c r="L195" s="88"/>
    </row>
    <row r="196" spans="1:14" ht="15.75" thickBot="1">
      <c r="A196" s="1979"/>
      <c r="B196" s="1857"/>
      <c r="C196" s="136" t="s">
        <v>13</v>
      </c>
      <c r="D196" s="139">
        <f t="shared" ref="D196:L196" si="22">SUM(D189:D195)</f>
        <v>2504</v>
      </c>
      <c r="E196" s="116">
        <f t="shared" si="22"/>
        <v>106</v>
      </c>
      <c r="F196" s="116">
        <f t="shared" si="22"/>
        <v>0</v>
      </c>
      <c r="G196" s="292">
        <f t="shared" si="22"/>
        <v>2610</v>
      </c>
      <c r="H196" s="115">
        <f t="shared" si="22"/>
        <v>0</v>
      </c>
      <c r="I196" s="116">
        <f t="shared" si="22"/>
        <v>340</v>
      </c>
      <c r="J196" s="116">
        <f t="shared" si="22"/>
        <v>0</v>
      </c>
      <c r="K196" s="116">
        <f t="shared" si="22"/>
        <v>874</v>
      </c>
      <c r="L196" s="117">
        <f t="shared" si="22"/>
        <v>1396</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569" t="s">
        <v>150</v>
      </c>
      <c r="B201" s="417" t="s">
        <v>182</v>
      </c>
      <c r="C201" s="298" t="s">
        <v>9</v>
      </c>
      <c r="D201" s="299" t="s">
        <v>151</v>
      </c>
      <c r="E201" s="300" t="s">
        <v>152</v>
      </c>
      <c r="F201" s="300" t="s">
        <v>153</v>
      </c>
      <c r="G201" s="298" t="s">
        <v>154</v>
      </c>
      <c r="H201" s="570" t="s">
        <v>155</v>
      </c>
      <c r="I201" s="302" t="s">
        <v>156</v>
      </c>
      <c r="J201" s="303" t="s">
        <v>157</v>
      </c>
      <c r="K201" s="300" t="s">
        <v>158</v>
      </c>
      <c r="L201" s="304" t="s">
        <v>159</v>
      </c>
    </row>
    <row r="202" spans="1:14" ht="15" customHeight="1">
      <c r="A202" s="1854"/>
      <c r="B202" s="1855"/>
      <c r="C202" s="72">
        <v>2014</v>
      </c>
      <c r="D202" s="30"/>
      <c r="E202" s="31"/>
      <c r="F202" s="31"/>
      <c r="G202" s="29"/>
      <c r="H202" s="305"/>
      <c r="I202" s="306"/>
      <c r="J202" s="307"/>
      <c r="K202" s="31"/>
      <c r="L202" s="34"/>
    </row>
    <row r="203" spans="1:14">
      <c r="A203" s="1854"/>
      <c r="B203" s="1855"/>
      <c r="C203" s="73">
        <v>2015</v>
      </c>
      <c r="D203" s="37"/>
      <c r="E203" s="38"/>
      <c r="F203" s="38"/>
      <c r="G203" s="36"/>
      <c r="H203" s="308"/>
      <c r="I203" s="309"/>
      <c r="J203" s="310"/>
      <c r="K203" s="38"/>
      <c r="L203" s="88"/>
    </row>
    <row r="204" spans="1:14">
      <c r="A204" s="1854"/>
      <c r="B204" s="1855"/>
      <c r="C204" s="73">
        <v>2016</v>
      </c>
      <c r="D204" s="37">
        <v>1</v>
      </c>
      <c r="E204" s="38">
        <v>45</v>
      </c>
      <c r="F204" s="38"/>
      <c r="G204" s="36"/>
      <c r="H204" s="308"/>
      <c r="I204" s="309"/>
      <c r="J204" s="310"/>
      <c r="K204" s="38"/>
      <c r="L204" s="88"/>
    </row>
    <row r="205" spans="1:14">
      <c r="A205" s="1854"/>
      <c r="B205" s="1855"/>
      <c r="C205" s="73">
        <v>2017</v>
      </c>
      <c r="D205" s="37"/>
      <c r="E205" s="38"/>
      <c r="F205" s="38"/>
      <c r="G205" s="36"/>
      <c r="H205" s="308"/>
      <c r="I205" s="309"/>
      <c r="J205" s="310"/>
      <c r="K205" s="38"/>
      <c r="L205" s="88"/>
    </row>
    <row r="206" spans="1:14">
      <c r="A206" s="1854"/>
      <c r="B206" s="1855"/>
      <c r="C206" s="73">
        <v>2018</v>
      </c>
      <c r="D206" s="37"/>
      <c r="E206" s="38"/>
      <c r="F206" s="38"/>
      <c r="G206" s="36"/>
      <c r="H206" s="308"/>
      <c r="I206" s="309"/>
      <c r="J206" s="310"/>
      <c r="K206" s="38"/>
      <c r="L206" s="88"/>
    </row>
    <row r="207" spans="1:14">
      <c r="A207" s="1854"/>
      <c r="B207" s="1855"/>
      <c r="C207" s="73">
        <v>2019</v>
      </c>
      <c r="D207" s="37"/>
      <c r="E207" s="38"/>
      <c r="F207" s="38"/>
      <c r="G207" s="36"/>
      <c r="H207" s="308"/>
      <c r="I207" s="309"/>
      <c r="J207" s="310"/>
      <c r="K207" s="38"/>
      <c r="L207" s="88"/>
    </row>
    <row r="208" spans="1:14">
      <c r="A208" s="1854"/>
      <c r="B208" s="1855"/>
      <c r="C208" s="73">
        <v>2020</v>
      </c>
      <c r="D208" s="311"/>
      <c r="E208" s="312"/>
      <c r="F208" s="312"/>
      <c r="G208" s="313"/>
      <c r="H208" s="314"/>
      <c r="I208" s="315"/>
      <c r="J208" s="316"/>
      <c r="K208" s="312"/>
      <c r="L208" s="317"/>
    </row>
    <row r="209" spans="1:12" ht="20.25" customHeight="1" thickBot="1">
      <c r="A209" s="1856"/>
      <c r="B209" s="1857"/>
      <c r="C209" s="136" t="s">
        <v>13</v>
      </c>
      <c r="D209" s="139">
        <f>SUM(D202:D208)</f>
        <v>1</v>
      </c>
      <c r="E209" s="139">
        <f t="shared" ref="E209:L209" si="23">SUM(E202:E208)</f>
        <v>45</v>
      </c>
      <c r="F209" s="139">
        <f t="shared" si="23"/>
        <v>0</v>
      </c>
      <c r="G209" s="139">
        <f t="shared" si="23"/>
        <v>0</v>
      </c>
      <c r="H209" s="139">
        <f t="shared" si="23"/>
        <v>0</v>
      </c>
      <c r="I209" s="139">
        <f t="shared" si="23"/>
        <v>0</v>
      </c>
      <c r="J209" s="139">
        <f t="shared" si="23"/>
        <v>0</v>
      </c>
      <c r="K209" s="139">
        <f t="shared" si="23"/>
        <v>0</v>
      </c>
      <c r="L209" s="139">
        <f t="shared" si="23"/>
        <v>0</v>
      </c>
    </row>
    <row r="211" spans="1:12" ht="15.75" thickBot="1"/>
    <row r="212" spans="1:12" ht="29.25">
      <c r="A212" s="571" t="s">
        <v>161</v>
      </c>
      <c r="B212" s="322" t="s">
        <v>162</v>
      </c>
      <c r="C212" s="323">
        <v>2014</v>
      </c>
      <c r="D212" s="324">
        <v>2015</v>
      </c>
      <c r="E212" s="324">
        <v>2016</v>
      </c>
      <c r="F212" s="324">
        <v>2017</v>
      </c>
      <c r="G212" s="324">
        <v>2018</v>
      </c>
      <c r="H212" s="324">
        <v>2019</v>
      </c>
      <c r="I212" s="325">
        <v>2020</v>
      </c>
    </row>
    <row r="213" spans="1:12" ht="15" customHeight="1">
      <c r="A213" t="s">
        <v>163</v>
      </c>
      <c r="B213" s="1973" t="s">
        <v>403</v>
      </c>
      <c r="C213" s="72"/>
      <c r="D213" s="135">
        <v>67223.72</v>
      </c>
      <c r="E213" s="135">
        <v>801112.14</v>
      </c>
      <c r="F213" s="135">
        <v>588674.46</v>
      </c>
      <c r="G213" s="135"/>
      <c r="H213" s="135"/>
      <c r="I213" s="326"/>
    </row>
    <row r="214" spans="1:12">
      <c r="A214" t="s">
        <v>164</v>
      </c>
      <c r="B214" s="1974"/>
      <c r="C214" s="72"/>
      <c r="D214" s="135">
        <v>63763.72</v>
      </c>
      <c r="E214" s="135">
        <v>686497.78</v>
      </c>
      <c r="F214" s="135">
        <v>542019.78</v>
      </c>
      <c r="G214" s="135"/>
      <c r="H214" s="135"/>
      <c r="I214" s="326"/>
    </row>
    <row r="215" spans="1:12">
      <c r="A215" t="s">
        <v>165</v>
      </c>
      <c r="B215" s="1974"/>
      <c r="C215" s="72"/>
      <c r="D215" s="135"/>
      <c r="E215" s="135"/>
      <c r="F215" s="135"/>
      <c r="G215" s="135"/>
      <c r="H215" s="135"/>
      <c r="I215" s="326"/>
    </row>
    <row r="216" spans="1:12">
      <c r="A216" t="s">
        <v>166</v>
      </c>
      <c r="B216" s="1974"/>
      <c r="C216" s="72"/>
      <c r="D216" s="135">
        <v>3460</v>
      </c>
      <c r="E216" s="135">
        <v>114614.36</v>
      </c>
      <c r="F216" s="1524">
        <v>40565.39</v>
      </c>
      <c r="G216" s="135"/>
      <c r="H216" s="135"/>
      <c r="I216" s="326"/>
    </row>
    <row r="217" spans="1:12">
      <c r="A217" t="s">
        <v>167</v>
      </c>
      <c r="B217" s="1974"/>
      <c r="C217" s="72"/>
      <c r="D217" s="135"/>
      <c r="E217" s="1525">
        <v>0</v>
      </c>
      <c r="F217" s="135">
        <v>6089.29</v>
      </c>
      <c r="G217" s="135"/>
      <c r="H217" s="135"/>
      <c r="I217" s="326"/>
    </row>
    <row r="218" spans="1:12" ht="27" customHeight="1">
      <c r="A218" s="56" t="s">
        <v>168</v>
      </c>
      <c r="B218" s="1974"/>
      <c r="C218" s="72"/>
      <c r="D218" s="1526">
        <v>157339.37</v>
      </c>
      <c r="E218" s="135">
        <v>209766.89</v>
      </c>
      <c r="F218" s="135">
        <v>215674.28</v>
      </c>
      <c r="G218" s="135"/>
      <c r="H218" s="135"/>
      <c r="I218" s="326"/>
    </row>
    <row r="219" spans="1:12" ht="36.75" customHeight="1" thickBot="1">
      <c r="A219" s="331"/>
      <c r="B219" s="1975"/>
      <c r="C219" s="42" t="s">
        <v>13</v>
      </c>
      <c r="D219" s="333">
        <f>SUM(D214:D218)</f>
        <v>224563.09</v>
      </c>
      <c r="E219" s="333">
        <f>SUM(E214:E218)</f>
        <v>1010879.03</v>
      </c>
      <c r="F219" s="333">
        <f t="shared" ref="F219:I219" si="24">SUM(F214:F218)</f>
        <v>804348.74000000011</v>
      </c>
      <c r="G219" s="333">
        <f t="shared" si="24"/>
        <v>0</v>
      </c>
      <c r="H219" s="333">
        <f t="shared" si="24"/>
        <v>0</v>
      </c>
      <c r="I219" s="333">
        <f t="shared" si="24"/>
        <v>0</v>
      </c>
    </row>
    <row r="221" spans="1:12">
      <c r="B221" s="466"/>
    </row>
    <row r="227" spans="1:1">
      <c r="A227" s="56"/>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7"/>
  <sheetViews>
    <sheetView topLeftCell="C10" workbookViewId="0">
      <selection activeCell="D219" sqref="D219:F219"/>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186</v>
      </c>
      <c r="C1" s="1944"/>
      <c r="D1" s="1944"/>
      <c r="E1" s="1944"/>
      <c r="F1" s="1944"/>
    </row>
    <row r="2" spans="1:25" s="1" customFormat="1" ht="20.100000000000001" customHeight="1" thickBot="1"/>
    <row r="3" spans="1:25" s="4" customFormat="1" ht="20.100000000000001" customHeight="1">
      <c r="A3" s="2" t="s">
        <v>2</v>
      </c>
      <c r="B3" s="3"/>
      <c r="C3" s="3"/>
      <c r="D3" s="3"/>
      <c r="E3" s="3"/>
      <c r="F3" s="1945"/>
      <c r="G3" s="1945"/>
      <c r="H3" s="1945"/>
      <c r="I3" s="1945"/>
      <c r="J3" s="1945"/>
      <c r="K3" s="1945"/>
      <c r="L3" s="1945"/>
      <c r="M3" s="1945"/>
      <c r="N3" s="1945"/>
      <c r="O3" s="1946"/>
    </row>
    <row r="4" spans="1:25" s="4" customFormat="1" ht="20.100000000000001" customHeight="1">
      <c r="A4" s="1947" t="s">
        <v>170</v>
      </c>
      <c r="B4" s="1948"/>
      <c r="C4" s="1948"/>
      <c r="D4" s="1948"/>
      <c r="E4" s="1948"/>
      <c r="F4" s="1948"/>
      <c r="G4" s="1948"/>
      <c r="H4" s="1948"/>
      <c r="I4" s="1948"/>
      <c r="J4" s="1948"/>
      <c r="K4" s="1948"/>
      <c r="L4" s="1948"/>
      <c r="M4" s="1948"/>
      <c r="N4" s="1948"/>
      <c r="O4" s="1949"/>
    </row>
    <row r="5" spans="1:25" s="4" customFormat="1" ht="20.100000000000001" customHeight="1">
      <c r="A5" s="1947"/>
      <c r="B5" s="1948"/>
      <c r="C5" s="1948"/>
      <c r="D5" s="1948"/>
      <c r="E5" s="1948"/>
      <c r="F5" s="1948"/>
      <c r="G5" s="1948"/>
      <c r="H5" s="1948"/>
      <c r="I5" s="1948"/>
      <c r="J5" s="1948"/>
      <c r="K5" s="1948"/>
      <c r="L5" s="1948"/>
      <c r="M5" s="1948"/>
      <c r="N5" s="1948"/>
      <c r="O5" s="1949"/>
    </row>
    <row r="6" spans="1:25" s="4" customFormat="1" ht="20.100000000000001" customHeight="1">
      <c r="A6" s="1947"/>
      <c r="B6" s="1948"/>
      <c r="C6" s="1948"/>
      <c r="D6" s="1948"/>
      <c r="E6" s="1948"/>
      <c r="F6" s="1948"/>
      <c r="G6" s="1948"/>
      <c r="H6" s="1948"/>
      <c r="I6" s="1948"/>
      <c r="J6" s="1948"/>
      <c r="K6" s="1948"/>
      <c r="L6" s="1948"/>
      <c r="M6" s="1948"/>
      <c r="N6" s="1948"/>
      <c r="O6" s="1949"/>
    </row>
    <row r="7" spans="1:25" s="4" customFormat="1" ht="20.100000000000001" customHeight="1">
      <c r="A7" s="1947"/>
      <c r="B7" s="1948"/>
      <c r="C7" s="1948"/>
      <c r="D7" s="1948"/>
      <c r="E7" s="1948"/>
      <c r="F7" s="1948"/>
      <c r="G7" s="1948"/>
      <c r="H7" s="1948"/>
      <c r="I7" s="1948"/>
      <c r="J7" s="1948"/>
      <c r="K7" s="1948"/>
      <c r="L7" s="1948"/>
      <c r="M7" s="1948"/>
      <c r="N7" s="1948"/>
      <c r="O7" s="1949"/>
    </row>
    <row r="8" spans="1:25" s="4" customFormat="1" ht="20.100000000000001" customHeight="1">
      <c r="A8" s="1947"/>
      <c r="B8" s="1948"/>
      <c r="C8" s="1948"/>
      <c r="D8" s="1948"/>
      <c r="E8" s="1948"/>
      <c r="F8" s="1948"/>
      <c r="G8" s="1948"/>
      <c r="H8" s="1948"/>
      <c r="I8" s="1948"/>
      <c r="J8" s="1948"/>
      <c r="K8" s="1948"/>
      <c r="L8" s="1948"/>
      <c r="M8" s="1948"/>
      <c r="N8" s="1948"/>
      <c r="O8" s="1949"/>
    </row>
    <row r="9" spans="1:25" s="4" customFormat="1" ht="20.100000000000001" customHeight="1">
      <c r="A9" s="1947"/>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8"/>
      <c r="B15" s="9"/>
      <c r="C15" s="10"/>
      <c r="D15" s="1953" t="s">
        <v>5</v>
      </c>
      <c r="E15" s="1954"/>
      <c r="F15" s="1954"/>
      <c r="G15" s="1954"/>
      <c r="H15" s="11"/>
      <c r="I15" s="12" t="s">
        <v>6</v>
      </c>
      <c r="J15" s="13"/>
      <c r="K15" s="13"/>
      <c r="L15" s="13"/>
      <c r="M15" s="13"/>
      <c r="N15" s="13"/>
      <c r="O15" s="14"/>
      <c r="P15" s="15"/>
      <c r="Q15" s="16"/>
      <c r="R15" s="17"/>
      <c r="S15" s="17"/>
      <c r="T15" s="17"/>
      <c r="U15" s="17"/>
      <c r="V15" s="17"/>
      <c r="W15" s="15"/>
      <c r="X15" s="15"/>
      <c r="Y15" s="16"/>
    </row>
    <row r="16" spans="1:25" s="56" customFormat="1" ht="156.6" customHeight="1">
      <c r="A16" s="1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1874" t="s">
        <v>187</v>
      </c>
      <c r="B17" s="1855"/>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1854"/>
      <c r="B18" s="1855"/>
      <c r="C18" s="36">
        <v>2015</v>
      </c>
      <c r="D18" s="37">
        <v>127</v>
      </c>
      <c r="E18" s="38"/>
      <c r="F18" s="38"/>
      <c r="G18" s="32">
        <f>SUM(D18:F18)</f>
        <v>127</v>
      </c>
      <c r="H18" s="39"/>
      <c r="I18" s="38"/>
      <c r="J18" s="38"/>
      <c r="K18" s="38"/>
      <c r="L18" s="38"/>
      <c r="M18" s="38"/>
      <c r="N18" s="38"/>
      <c r="O18" s="40">
        <v>127</v>
      </c>
      <c r="P18" s="35"/>
      <c r="Q18" s="35"/>
      <c r="R18" s="35"/>
      <c r="S18" s="35"/>
      <c r="T18" s="35"/>
      <c r="U18" s="35"/>
      <c r="V18" s="35"/>
      <c r="W18" s="35"/>
      <c r="X18" s="35"/>
      <c r="Y18" s="35"/>
    </row>
    <row r="19" spans="1:25">
      <c r="A19" s="1854"/>
      <c r="B19" s="1855"/>
      <c r="C19" s="36">
        <v>2016</v>
      </c>
      <c r="D19" s="37">
        <v>110</v>
      </c>
      <c r="E19" s="38"/>
      <c r="F19" s="38"/>
      <c r="G19" s="32">
        <f t="shared" si="0"/>
        <v>110</v>
      </c>
      <c r="H19" s="39"/>
      <c r="I19" s="38"/>
      <c r="J19" s="38"/>
      <c r="K19" s="38"/>
      <c r="L19" s="38"/>
      <c r="M19" s="38"/>
      <c r="N19" s="38"/>
      <c r="O19" s="40">
        <v>110</v>
      </c>
      <c r="P19" s="35"/>
      <c r="Q19" s="35"/>
      <c r="R19" s="35"/>
      <c r="S19" s="35"/>
      <c r="T19" s="35"/>
      <c r="U19" s="35"/>
      <c r="V19" s="35"/>
      <c r="W19" s="35"/>
      <c r="X19" s="35"/>
      <c r="Y19" s="35"/>
    </row>
    <row r="20" spans="1:25">
      <c r="A20" s="1854"/>
      <c r="B20" s="1855"/>
      <c r="C20" s="36">
        <v>2017</v>
      </c>
      <c r="D20" s="37">
        <v>240</v>
      </c>
      <c r="E20" s="38"/>
      <c r="F20" s="38"/>
      <c r="G20" s="32">
        <f t="shared" si="0"/>
        <v>240</v>
      </c>
      <c r="H20" s="39"/>
      <c r="I20" s="38"/>
      <c r="J20" s="38"/>
      <c r="K20" s="38"/>
      <c r="L20" s="38"/>
      <c r="M20" s="38"/>
      <c r="N20" s="38"/>
      <c r="O20" s="40">
        <v>240</v>
      </c>
      <c r="P20" s="35"/>
      <c r="Q20" s="35"/>
      <c r="R20" s="35"/>
      <c r="S20" s="35"/>
      <c r="T20" s="35"/>
      <c r="U20" s="35"/>
      <c r="V20" s="35"/>
      <c r="W20" s="35"/>
      <c r="X20" s="35"/>
      <c r="Y20" s="35"/>
    </row>
    <row r="21" spans="1:25">
      <c r="A21" s="1854"/>
      <c r="B21" s="1855"/>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1854"/>
      <c r="B22" s="1855"/>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1854"/>
      <c r="B23" s="1855"/>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19.5" customHeight="1" thickBot="1">
      <c r="A24" s="1856"/>
      <c r="B24" s="1857"/>
      <c r="C24" s="42" t="s">
        <v>13</v>
      </c>
      <c r="D24" s="43">
        <f>SUM(D17:D23)</f>
        <v>477</v>
      </c>
      <c r="E24" s="44"/>
      <c r="F24" s="44">
        <f>SUM(F17:F23)</f>
        <v>0</v>
      </c>
      <c r="G24" s="45">
        <f>SUM(D24:F24)</f>
        <v>477</v>
      </c>
      <c r="H24" s="46">
        <f>SUM(H17:H23)</f>
        <v>0</v>
      </c>
      <c r="I24" s="47"/>
      <c r="J24" s="47">
        <f t="shared" ref="J24:N24" si="1">SUM(J17:J23)</f>
        <v>0</v>
      </c>
      <c r="K24" s="47">
        <f t="shared" si="1"/>
        <v>0</v>
      </c>
      <c r="L24" s="47">
        <f t="shared" si="1"/>
        <v>0</v>
      </c>
      <c r="M24" s="47">
        <f t="shared" si="1"/>
        <v>0</v>
      </c>
      <c r="N24" s="47">
        <f t="shared" si="1"/>
        <v>0</v>
      </c>
      <c r="O24" s="48">
        <f>SUM(O17:O23)</f>
        <v>477</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8"/>
      <c r="B26" s="9"/>
      <c r="C26" s="50"/>
      <c r="D26" s="1959" t="s">
        <v>5</v>
      </c>
      <c r="E26" s="1960"/>
      <c r="F26" s="1960"/>
      <c r="G26" s="1961"/>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1874"/>
      <c r="B28" s="1855"/>
      <c r="C28" s="57">
        <v>2014</v>
      </c>
      <c r="D28" s="33"/>
      <c r="E28" s="31"/>
      <c r="F28" s="31"/>
      <c r="G28" s="58">
        <f>SUM(D28:F28)</f>
        <v>0</v>
      </c>
      <c r="H28" s="35"/>
      <c r="I28" s="35"/>
      <c r="J28" s="35"/>
      <c r="K28" s="35"/>
      <c r="L28" s="35"/>
      <c r="M28" s="35"/>
      <c r="N28" s="35"/>
      <c r="O28" s="35"/>
      <c r="P28" s="35"/>
      <c r="Q28" s="7"/>
    </row>
    <row r="29" spans="1:25">
      <c r="A29" s="1854"/>
      <c r="B29" s="1855"/>
      <c r="C29" s="59">
        <v>2015</v>
      </c>
      <c r="D29" s="39">
        <v>91898</v>
      </c>
      <c r="E29" s="38"/>
      <c r="F29" s="38"/>
      <c r="G29" s="58">
        <f t="shared" ref="G29:G35" si="2">SUM(D29:F29)</f>
        <v>91898</v>
      </c>
      <c r="H29" s="35"/>
      <c r="I29" s="35"/>
      <c r="J29" s="35"/>
      <c r="K29" s="35"/>
      <c r="L29" s="35"/>
      <c r="M29" s="35"/>
      <c r="N29" s="35"/>
      <c r="O29" s="35"/>
      <c r="P29" s="35"/>
      <c r="Q29" s="7"/>
    </row>
    <row r="30" spans="1:25">
      <c r="A30" s="1854"/>
      <c r="B30" s="1855"/>
      <c r="C30" s="59">
        <v>2016</v>
      </c>
      <c r="D30" s="39">
        <v>500000</v>
      </c>
      <c r="E30" s="38"/>
      <c r="F30" s="38"/>
      <c r="G30" s="58">
        <f t="shared" si="2"/>
        <v>500000</v>
      </c>
      <c r="H30" s="35"/>
      <c r="I30" s="35"/>
      <c r="J30" s="35"/>
      <c r="K30" s="35"/>
      <c r="L30" s="35"/>
      <c r="M30" s="35"/>
      <c r="N30" s="35"/>
      <c r="O30" s="35"/>
      <c r="P30" s="35"/>
      <c r="Q30" s="7"/>
    </row>
    <row r="31" spans="1:25">
      <c r="A31" s="1854"/>
      <c r="B31" s="1855"/>
      <c r="C31" s="59">
        <v>2017</v>
      </c>
      <c r="D31" s="39">
        <v>551599</v>
      </c>
      <c r="E31" s="38"/>
      <c r="F31" s="38"/>
      <c r="G31" s="58">
        <f t="shared" si="2"/>
        <v>551599</v>
      </c>
      <c r="H31" s="35"/>
      <c r="I31" s="35"/>
      <c r="J31" s="35"/>
      <c r="K31" s="35"/>
      <c r="L31" s="35"/>
      <c r="M31" s="35"/>
      <c r="N31" s="35"/>
      <c r="O31" s="35"/>
      <c r="P31" s="35"/>
      <c r="Q31" s="7"/>
    </row>
    <row r="32" spans="1:25">
      <c r="A32" s="1854"/>
      <c r="B32" s="1855"/>
      <c r="C32" s="59">
        <v>2018</v>
      </c>
      <c r="D32" s="39"/>
      <c r="E32" s="38"/>
      <c r="F32" s="38"/>
      <c r="G32" s="58">
        <f>SUM(D32:F32)</f>
        <v>0</v>
      </c>
      <c r="H32" s="35"/>
      <c r="I32" s="35"/>
      <c r="J32" s="35"/>
      <c r="K32" s="35"/>
      <c r="L32" s="35"/>
      <c r="M32" s="35"/>
      <c r="N32" s="35"/>
      <c r="O32" s="35"/>
      <c r="P32" s="35"/>
      <c r="Q32" s="7"/>
    </row>
    <row r="33" spans="1:17">
      <c r="A33" s="1854"/>
      <c r="B33" s="1855"/>
      <c r="C33" s="60">
        <v>2019</v>
      </c>
      <c r="D33" s="39"/>
      <c r="E33" s="38"/>
      <c r="F33" s="38"/>
      <c r="G33" s="58">
        <f t="shared" si="2"/>
        <v>0</v>
      </c>
      <c r="H33" s="35"/>
      <c r="I33" s="35"/>
      <c r="J33" s="35"/>
      <c r="K33" s="35"/>
      <c r="L33" s="35"/>
      <c r="M33" s="35"/>
      <c r="N33" s="35"/>
      <c r="O33" s="35"/>
      <c r="P33" s="35"/>
      <c r="Q33" s="7"/>
    </row>
    <row r="34" spans="1:17">
      <c r="A34" s="1854"/>
      <c r="B34" s="1855"/>
      <c r="C34" s="59">
        <v>2020</v>
      </c>
      <c r="D34" s="39"/>
      <c r="E34" s="38"/>
      <c r="F34" s="38"/>
      <c r="G34" s="58">
        <f t="shared" si="2"/>
        <v>0</v>
      </c>
      <c r="H34" s="35"/>
      <c r="I34" s="35"/>
      <c r="J34" s="35"/>
      <c r="K34" s="35"/>
      <c r="L34" s="35"/>
      <c r="M34" s="35"/>
      <c r="N34" s="35"/>
      <c r="O34" s="35"/>
      <c r="P34" s="35"/>
      <c r="Q34" s="7"/>
    </row>
    <row r="35" spans="1:17" ht="20.25" customHeight="1" thickBot="1">
      <c r="A35" s="1856"/>
      <c r="B35" s="1857"/>
      <c r="C35" s="61" t="s">
        <v>13</v>
      </c>
      <c r="D35" s="46">
        <f>SUM(D28:D34)</f>
        <v>1143497</v>
      </c>
      <c r="E35" s="44">
        <f>SUM(E28:E34)</f>
        <v>0</v>
      </c>
      <c r="F35" s="44">
        <f>SUM(F28:F34)</f>
        <v>0</v>
      </c>
      <c r="G35" s="48">
        <f t="shared" si="2"/>
        <v>1143497</v>
      </c>
      <c r="H35" s="35"/>
      <c r="I35" s="35"/>
      <c r="J35" s="35"/>
      <c r="K35" s="35"/>
      <c r="L35" s="35"/>
      <c r="M35" s="35"/>
      <c r="N35" s="35"/>
      <c r="O35" s="35"/>
      <c r="P35" s="35"/>
      <c r="Q35" s="7"/>
    </row>
    <row r="36" spans="1:17">
      <c r="A36" s="62"/>
      <c r="B36" s="62"/>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66" t="s">
        <v>26</v>
      </c>
      <c r="B39" s="372" t="s">
        <v>171</v>
      </c>
      <c r="C39" s="68" t="s">
        <v>9</v>
      </c>
      <c r="D39" s="69" t="s">
        <v>28</v>
      </c>
      <c r="E39" s="70" t="s">
        <v>29</v>
      </c>
      <c r="F39" s="71"/>
      <c r="G39" s="28"/>
      <c r="H39" s="28"/>
    </row>
    <row r="40" spans="1:17">
      <c r="A40" s="1874"/>
      <c r="B40" s="1855"/>
      <c r="C40" s="72">
        <v>2014</v>
      </c>
      <c r="D40" s="422"/>
      <c r="E40" s="423"/>
      <c r="F40" s="7"/>
      <c r="G40" s="35"/>
      <c r="H40" s="35"/>
    </row>
    <row r="41" spans="1:17">
      <c r="A41" s="1854"/>
      <c r="B41" s="1855"/>
      <c r="C41" s="73">
        <v>2015</v>
      </c>
      <c r="D41" s="424">
        <v>2406</v>
      </c>
      <c r="E41" s="425">
        <v>1949</v>
      </c>
      <c r="F41" s="7"/>
      <c r="G41" s="35"/>
      <c r="H41" s="35"/>
    </row>
    <row r="42" spans="1:17">
      <c r="A42" s="1854"/>
      <c r="B42" s="1855"/>
      <c r="C42" s="426">
        <v>2016</v>
      </c>
      <c r="D42" s="427">
        <v>65103</v>
      </c>
      <c r="E42" s="428">
        <v>6900</v>
      </c>
      <c r="F42" s="361"/>
      <c r="G42" s="35"/>
      <c r="H42" s="35"/>
    </row>
    <row r="43" spans="1:17">
      <c r="A43" s="1854"/>
      <c r="B43" s="1855"/>
      <c r="C43" s="73">
        <v>2017</v>
      </c>
      <c r="D43" s="429">
        <v>21924</v>
      </c>
      <c r="E43" s="430">
        <v>2747</v>
      </c>
      <c r="F43" s="7"/>
      <c r="G43" s="35"/>
      <c r="H43" s="35"/>
    </row>
    <row r="44" spans="1:17">
      <c r="A44" s="1854"/>
      <c r="B44" s="1855"/>
      <c r="C44" s="73">
        <v>2018</v>
      </c>
      <c r="D44" s="37"/>
      <c r="E44" s="36"/>
      <c r="F44" s="7"/>
      <c r="G44" s="35"/>
      <c r="H44" s="35"/>
    </row>
    <row r="45" spans="1:17">
      <c r="A45" s="1854"/>
      <c r="B45" s="1855"/>
      <c r="C45" s="73">
        <v>2019</v>
      </c>
      <c r="D45" s="37"/>
      <c r="E45" s="36"/>
      <c r="F45" s="7"/>
      <c r="G45" s="35"/>
      <c r="H45" s="35"/>
    </row>
    <row r="46" spans="1:17">
      <c r="A46" s="1854"/>
      <c r="B46" s="1855"/>
      <c r="C46" s="73">
        <v>2020</v>
      </c>
      <c r="D46" s="37"/>
      <c r="E46" s="36"/>
      <c r="F46" s="7"/>
      <c r="G46" s="35"/>
      <c r="H46" s="35"/>
    </row>
    <row r="47" spans="1:17" ht="15.75" thickBot="1">
      <c r="A47" s="1856"/>
      <c r="B47" s="1857"/>
      <c r="C47" s="42" t="s">
        <v>13</v>
      </c>
      <c r="D47" s="431">
        <f>SUM(D40:D46)</f>
        <v>89433</v>
      </c>
      <c r="E47" s="432">
        <f>SUM(E40:E46)</f>
        <v>11596</v>
      </c>
      <c r="F47" s="78"/>
      <c r="G47" s="35"/>
      <c r="H47" s="35"/>
    </row>
    <row r="48" spans="1:17" s="35" customFormat="1" ht="15.75" thickBot="1">
      <c r="A48" s="79"/>
      <c r="B48" s="80"/>
      <c r="C48" s="81"/>
    </row>
    <row r="49" spans="1:15" ht="83.25" customHeight="1">
      <c r="A49" s="82" t="s">
        <v>32</v>
      </c>
      <c r="B49" s="372" t="s">
        <v>171</v>
      </c>
      <c r="C49" s="84" t="s">
        <v>9</v>
      </c>
      <c r="D49" s="69" t="s">
        <v>34</v>
      </c>
      <c r="E49" s="85" t="s">
        <v>35</v>
      </c>
      <c r="F49" s="85" t="s">
        <v>36</v>
      </c>
      <c r="G49" s="85" t="s">
        <v>37</v>
      </c>
      <c r="H49" s="85" t="s">
        <v>38</v>
      </c>
      <c r="I49" s="85" t="s">
        <v>39</v>
      </c>
      <c r="J49" s="85" t="s">
        <v>40</v>
      </c>
      <c r="K49" s="86" t="s">
        <v>41</v>
      </c>
    </row>
    <row r="50" spans="1:15" ht="17.25" customHeight="1">
      <c r="A50" s="1872"/>
      <c r="B50" s="1879"/>
      <c r="C50" s="87" t="s">
        <v>43</v>
      </c>
      <c r="D50" s="30"/>
      <c r="E50" s="31"/>
      <c r="F50" s="31"/>
      <c r="G50" s="31"/>
      <c r="H50" s="31"/>
      <c r="I50" s="31"/>
      <c r="J50" s="31"/>
      <c r="K50" s="34"/>
    </row>
    <row r="51" spans="1:15" ht="15" customHeight="1">
      <c r="A51" s="1874"/>
      <c r="B51" s="1881"/>
      <c r="C51" s="73">
        <v>2014</v>
      </c>
      <c r="D51" s="37"/>
      <c r="E51" s="38"/>
      <c r="F51" s="38"/>
      <c r="G51" s="38"/>
      <c r="H51" s="38"/>
      <c r="I51" s="38"/>
      <c r="J51" s="38"/>
      <c r="K51" s="88"/>
    </row>
    <row r="52" spans="1:15">
      <c r="A52" s="1874"/>
      <c r="B52" s="1881"/>
      <c r="C52" s="73">
        <v>2015</v>
      </c>
      <c r="D52" s="37"/>
      <c r="E52" s="38"/>
      <c r="F52" s="38"/>
      <c r="G52" s="38"/>
      <c r="H52" s="38"/>
      <c r="I52" s="38"/>
      <c r="J52" s="38"/>
      <c r="K52" s="88"/>
    </row>
    <row r="53" spans="1:15">
      <c r="A53" s="1874"/>
      <c r="B53" s="1881"/>
      <c r="C53" s="73">
        <v>2016</v>
      </c>
      <c r="D53" s="37"/>
      <c r="E53" s="38"/>
      <c r="F53" s="38"/>
      <c r="G53" s="38"/>
      <c r="H53" s="38"/>
      <c r="I53" s="38"/>
      <c r="J53" s="38"/>
      <c r="K53" s="88"/>
    </row>
    <row r="54" spans="1:15">
      <c r="A54" s="1874"/>
      <c r="B54" s="1881"/>
      <c r="C54" s="73">
        <v>2017</v>
      </c>
      <c r="D54" s="37"/>
      <c r="E54" s="38"/>
      <c r="F54" s="38"/>
      <c r="G54" s="38"/>
      <c r="H54" s="38"/>
      <c r="I54" s="38"/>
      <c r="J54" s="38"/>
      <c r="K54" s="88"/>
    </row>
    <row r="55" spans="1:15">
      <c r="A55" s="1874"/>
      <c r="B55" s="1881"/>
      <c r="C55" s="73">
        <v>2018</v>
      </c>
      <c r="D55" s="37"/>
      <c r="E55" s="38"/>
      <c r="F55" s="38"/>
      <c r="G55" s="38"/>
      <c r="H55" s="38"/>
      <c r="I55" s="38"/>
      <c r="J55" s="38"/>
      <c r="K55" s="88"/>
    </row>
    <row r="56" spans="1:15">
      <c r="A56" s="1874"/>
      <c r="B56" s="1881"/>
      <c r="C56" s="73">
        <v>2019</v>
      </c>
      <c r="D56" s="37"/>
      <c r="E56" s="38"/>
      <c r="F56" s="38"/>
      <c r="G56" s="38"/>
      <c r="H56" s="38"/>
      <c r="I56" s="38"/>
      <c r="J56" s="38"/>
      <c r="K56" s="88"/>
    </row>
    <row r="57" spans="1:15">
      <c r="A57" s="1874"/>
      <c r="B57" s="1881"/>
      <c r="C57" s="73">
        <v>2020</v>
      </c>
      <c r="D57" s="37"/>
      <c r="E57" s="38"/>
      <c r="F57" s="38"/>
      <c r="G57" s="38"/>
      <c r="H57" s="38"/>
      <c r="I57" s="38"/>
      <c r="J57" s="38"/>
      <c r="K57" s="93"/>
    </row>
    <row r="58" spans="1:15" ht="20.25" customHeight="1" thickBot="1">
      <c r="A58" s="1876"/>
      <c r="B58" s="1883"/>
      <c r="C58" s="42" t="s">
        <v>13</v>
      </c>
      <c r="D58" s="43">
        <f>SUM(D51:D57)</f>
        <v>0</v>
      </c>
      <c r="E58" s="44">
        <f>SUM(E51:E57)</f>
        <v>0</v>
      </c>
      <c r="F58" s="44">
        <f>SUM(F51:F57)</f>
        <v>0</v>
      </c>
      <c r="G58" s="44">
        <f>SUM(G51:G57)</f>
        <v>0</v>
      </c>
      <c r="H58" s="44">
        <f>SUM(H51:H57)</f>
        <v>0</v>
      </c>
      <c r="I58" s="44">
        <f t="shared" ref="I58" si="3">SUM(I51:I57)</f>
        <v>0</v>
      </c>
      <c r="J58" s="44">
        <f>SUM(J51:J57)</f>
        <v>0</v>
      </c>
      <c r="K58" s="48">
        <f>SUM(K50:K56)</f>
        <v>0</v>
      </c>
    </row>
    <row r="59" spans="1:15" ht="15.75" thickBot="1"/>
    <row r="60" spans="1:15" ht="21" customHeight="1">
      <c r="A60" s="1969" t="s">
        <v>44</v>
      </c>
      <c r="B60" s="95"/>
      <c r="C60" s="1971" t="s">
        <v>9</v>
      </c>
      <c r="D60" s="1941" t="s">
        <v>45</v>
      </c>
      <c r="E60" s="96" t="s">
        <v>6</v>
      </c>
      <c r="F60" s="97"/>
      <c r="G60" s="97"/>
      <c r="H60" s="97"/>
      <c r="I60" s="97"/>
      <c r="J60" s="97"/>
      <c r="K60" s="97"/>
      <c r="L60" s="98"/>
    </row>
    <row r="61" spans="1:15" ht="142.15" customHeight="1">
      <c r="A61" s="1970"/>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1898" t="s">
        <v>188</v>
      </c>
      <c r="B62" s="1899"/>
      <c r="C62" s="106">
        <v>2014</v>
      </c>
      <c r="D62" s="107"/>
      <c r="E62" s="108"/>
      <c r="F62" s="109"/>
      <c r="G62" s="109"/>
      <c r="H62" s="109"/>
      <c r="I62" s="109"/>
      <c r="J62" s="109"/>
      <c r="K62" s="109"/>
      <c r="L62" s="34"/>
      <c r="M62" s="7"/>
      <c r="N62" s="7"/>
      <c r="O62" s="7"/>
    </row>
    <row r="63" spans="1:15">
      <c r="A63" s="1891"/>
      <c r="B63" s="1899"/>
      <c r="C63" s="110">
        <v>2015</v>
      </c>
      <c r="D63" s="111"/>
      <c r="E63" s="112"/>
      <c r="F63" s="38"/>
      <c r="G63" s="38"/>
      <c r="H63" s="38"/>
      <c r="I63" s="38"/>
      <c r="J63" s="38"/>
      <c r="K63" s="38"/>
      <c r="L63" s="88"/>
      <c r="M63" s="7"/>
      <c r="N63" s="7"/>
      <c r="O63" s="7"/>
    </row>
    <row r="64" spans="1:15">
      <c r="A64" s="1891"/>
      <c r="B64" s="1899"/>
      <c r="C64" s="110">
        <v>2016</v>
      </c>
      <c r="D64" s="111">
        <v>10</v>
      </c>
      <c r="E64" s="112"/>
      <c r="F64" s="38">
        <v>10</v>
      </c>
      <c r="G64" s="38"/>
      <c r="H64" s="38"/>
      <c r="I64" s="38"/>
      <c r="J64" s="38"/>
      <c r="K64" s="38"/>
      <c r="L64" s="88"/>
      <c r="M64" s="7"/>
      <c r="N64" s="7"/>
      <c r="O64" s="7"/>
    </row>
    <row r="65" spans="1:20">
      <c r="A65" s="1891"/>
      <c r="B65" s="1899"/>
      <c r="C65" s="110">
        <v>2017</v>
      </c>
      <c r="D65" s="111">
        <v>10</v>
      </c>
      <c r="E65" s="112"/>
      <c r="F65" s="38">
        <v>10</v>
      </c>
      <c r="G65" s="38"/>
      <c r="H65" s="38"/>
      <c r="I65" s="38"/>
      <c r="J65" s="38"/>
      <c r="K65" s="38"/>
      <c r="L65" s="88"/>
      <c r="M65" s="7"/>
      <c r="N65" s="7"/>
      <c r="O65" s="7"/>
    </row>
    <row r="66" spans="1:20">
      <c r="A66" s="1891"/>
      <c r="B66" s="1899"/>
      <c r="C66" s="110">
        <v>2018</v>
      </c>
      <c r="D66" s="111"/>
      <c r="E66" s="112"/>
      <c r="F66" s="38"/>
      <c r="G66" s="38"/>
      <c r="H66" s="38"/>
      <c r="I66" s="38"/>
      <c r="J66" s="38"/>
      <c r="K66" s="38"/>
      <c r="L66" s="88"/>
      <c r="M66" s="7"/>
      <c r="N66" s="7"/>
      <c r="O66" s="7"/>
    </row>
    <row r="67" spans="1:20" ht="17.25" customHeight="1">
      <c r="A67" s="1891"/>
      <c r="B67" s="1899"/>
      <c r="C67" s="110">
        <v>2019</v>
      </c>
      <c r="D67" s="111"/>
      <c r="E67" s="112"/>
      <c r="F67" s="38"/>
      <c r="G67" s="38"/>
      <c r="H67" s="38"/>
      <c r="I67" s="38"/>
      <c r="J67" s="38"/>
      <c r="K67" s="38"/>
      <c r="L67" s="88"/>
      <c r="M67" s="7"/>
      <c r="N67" s="7"/>
      <c r="O67" s="7"/>
    </row>
    <row r="68" spans="1:20" ht="16.5" customHeight="1">
      <c r="A68" s="1891"/>
      <c r="B68" s="1899"/>
      <c r="C68" s="110">
        <v>2020</v>
      </c>
      <c r="D68" s="111"/>
      <c r="E68" s="112"/>
      <c r="F68" s="38"/>
      <c r="G68" s="38"/>
      <c r="H68" s="38"/>
      <c r="I68" s="38"/>
      <c r="J68" s="38"/>
      <c r="K68" s="38"/>
      <c r="L68" s="88"/>
      <c r="M68" s="78"/>
      <c r="N68" s="78"/>
      <c r="O68" s="78"/>
    </row>
    <row r="69" spans="1:20" ht="18" customHeight="1" thickBot="1">
      <c r="A69" s="1980"/>
      <c r="B69" s="1900"/>
      <c r="C69" s="113" t="s">
        <v>13</v>
      </c>
      <c r="D69" s="114">
        <f>SUM(D62:D68)</f>
        <v>20</v>
      </c>
      <c r="E69" s="115">
        <f>SUM(E62:E68)</f>
        <v>0</v>
      </c>
      <c r="F69" s="116">
        <f t="shared" ref="F69:I69" si="4">SUM(F62:F68)</f>
        <v>20</v>
      </c>
      <c r="G69" s="116">
        <f t="shared" si="4"/>
        <v>0</v>
      </c>
      <c r="H69" s="116">
        <f t="shared" si="4"/>
        <v>0</v>
      </c>
      <c r="I69" s="116">
        <f t="shared" si="4"/>
        <v>0</v>
      </c>
      <c r="J69" s="116"/>
      <c r="K69" s="116">
        <f>SUM(K62:K68)</f>
        <v>0</v>
      </c>
      <c r="L69" s="117">
        <f>SUM(L62:L68)</f>
        <v>0</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66" t="s">
        <v>47</v>
      </c>
      <c r="B71" s="372"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2053" t="s">
        <v>189</v>
      </c>
      <c r="B72" s="2061" t="s">
        <v>190</v>
      </c>
      <c r="C72" s="72">
        <v>2014</v>
      </c>
      <c r="D72" s="131"/>
      <c r="E72" s="131"/>
      <c r="F72" s="131"/>
      <c r="G72" s="132">
        <f>SUM(D72:F72)</f>
        <v>0</v>
      </c>
      <c r="H72" s="30"/>
      <c r="I72" s="133"/>
      <c r="J72" s="109"/>
      <c r="K72" s="109"/>
      <c r="L72" s="109"/>
      <c r="M72" s="109"/>
      <c r="N72" s="109"/>
      <c r="O72" s="134"/>
    </row>
    <row r="73" spans="1:20">
      <c r="A73" s="2053"/>
      <c r="B73" s="2061"/>
      <c r="C73" s="73">
        <v>2015</v>
      </c>
      <c r="D73" s="135"/>
      <c r="E73" s="135"/>
      <c r="F73" s="135">
        <v>2460</v>
      </c>
      <c r="G73" s="132">
        <f t="shared" ref="G73:G78" si="5">SUM(D73:F73)</f>
        <v>2460</v>
      </c>
      <c r="H73" s="37"/>
      <c r="I73" s="37">
        <v>2460</v>
      </c>
      <c r="J73" s="38"/>
      <c r="K73" s="38"/>
      <c r="L73" s="38"/>
      <c r="M73" s="38"/>
      <c r="N73" s="38"/>
      <c r="O73" s="88"/>
    </row>
    <row r="74" spans="1:20">
      <c r="A74" s="2053"/>
      <c r="B74" s="2061"/>
      <c r="C74" s="73">
        <v>2016</v>
      </c>
      <c r="D74" s="135">
        <v>15</v>
      </c>
      <c r="E74" s="135"/>
      <c r="F74" s="135"/>
      <c r="G74" s="132">
        <f t="shared" si="5"/>
        <v>15</v>
      </c>
      <c r="H74" s="37"/>
      <c r="I74" s="37">
        <v>15</v>
      </c>
      <c r="J74" s="38"/>
      <c r="K74" s="38"/>
      <c r="L74" s="38"/>
      <c r="M74" s="38"/>
      <c r="N74" s="38"/>
      <c r="O74" s="88"/>
    </row>
    <row r="75" spans="1:20">
      <c r="A75" s="2053"/>
      <c r="B75" s="2061"/>
      <c r="C75" s="73">
        <v>2017</v>
      </c>
      <c r="D75" s="135">
        <v>20</v>
      </c>
      <c r="E75" s="135"/>
      <c r="F75" s="135"/>
      <c r="G75" s="132">
        <f t="shared" si="5"/>
        <v>20</v>
      </c>
      <c r="H75" s="37"/>
      <c r="I75" s="37">
        <v>20</v>
      </c>
      <c r="J75" s="38"/>
      <c r="K75" s="38"/>
      <c r="L75" s="38"/>
      <c r="M75" s="38"/>
      <c r="N75" s="38"/>
      <c r="O75" s="88"/>
    </row>
    <row r="76" spans="1:20">
      <c r="A76" s="2053"/>
      <c r="B76" s="2061"/>
      <c r="C76" s="73">
        <v>2018</v>
      </c>
      <c r="D76" s="135"/>
      <c r="E76" s="135"/>
      <c r="F76" s="135"/>
      <c r="G76" s="132">
        <f t="shared" si="5"/>
        <v>0</v>
      </c>
      <c r="H76" s="37"/>
      <c r="I76" s="37"/>
      <c r="J76" s="38"/>
      <c r="K76" s="38"/>
      <c r="L76" s="38"/>
      <c r="M76" s="38"/>
      <c r="N76" s="38"/>
      <c r="O76" s="88"/>
    </row>
    <row r="77" spans="1:20" ht="15.75" customHeight="1">
      <c r="A77" s="2053"/>
      <c r="B77" s="2061"/>
      <c r="C77" s="73">
        <v>2019</v>
      </c>
      <c r="D77" s="135"/>
      <c r="E77" s="135"/>
      <c r="F77" s="135"/>
      <c r="G77" s="132">
        <f t="shared" si="5"/>
        <v>0</v>
      </c>
      <c r="H77" s="37"/>
      <c r="I77" s="37"/>
      <c r="J77" s="38"/>
      <c r="K77" s="38"/>
      <c r="L77" s="38"/>
      <c r="M77" s="38"/>
      <c r="N77" s="38"/>
      <c r="O77" s="88"/>
    </row>
    <row r="78" spans="1:20" ht="17.25" customHeight="1">
      <c r="A78" s="2053"/>
      <c r="B78" s="2061"/>
      <c r="C78" s="73">
        <v>2020</v>
      </c>
      <c r="D78" s="135"/>
      <c r="E78" s="135"/>
      <c r="F78" s="135"/>
      <c r="G78" s="132">
        <f t="shared" si="5"/>
        <v>0</v>
      </c>
      <c r="H78" s="37"/>
      <c r="I78" s="37"/>
      <c r="J78" s="38"/>
      <c r="K78" s="38"/>
      <c r="L78" s="38"/>
      <c r="M78" s="38"/>
      <c r="N78" s="38"/>
      <c r="O78" s="88"/>
    </row>
    <row r="79" spans="1:20" ht="20.25" customHeight="1" thickBot="1">
      <c r="A79" s="2054"/>
      <c r="B79" s="2062"/>
      <c r="C79" s="136" t="s">
        <v>13</v>
      </c>
      <c r="D79" s="114">
        <f>SUM(D72:D78)</f>
        <v>35</v>
      </c>
      <c r="E79" s="114">
        <f>SUM(E72:E78)</f>
        <v>0</v>
      </c>
      <c r="F79" s="114">
        <f>SUM(F72:F78)</f>
        <v>2460</v>
      </c>
      <c r="G79" s="137">
        <f>SUM(G72:G78)</f>
        <v>2495</v>
      </c>
      <c r="H79" s="138">
        <v>0</v>
      </c>
      <c r="I79" s="139">
        <f t="shared" ref="I79:O79" si="6">SUM(I72:I78)</f>
        <v>2495</v>
      </c>
      <c r="J79" s="116">
        <f t="shared" si="6"/>
        <v>0</v>
      </c>
      <c r="K79" s="116">
        <f t="shared" si="6"/>
        <v>0</v>
      </c>
      <c r="L79" s="116">
        <f t="shared" si="6"/>
        <v>0</v>
      </c>
      <c r="M79" s="116">
        <f t="shared" si="6"/>
        <v>0</v>
      </c>
      <c r="N79" s="116">
        <f t="shared" si="6"/>
        <v>0</v>
      </c>
      <c r="O79" s="117">
        <f t="shared" si="6"/>
        <v>0</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147" t="s">
        <v>56</v>
      </c>
      <c r="B84" s="394" t="s">
        <v>178</v>
      </c>
      <c r="C84" s="149" t="s">
        <v>9</v>
      </c>
      <c r="D84" s="150" t="s">
        <v>58</v>
      </c>
      <c r="E84" s="151" t="s">
        <v>59</v>
      </c>
      <c r="F84" s="152" t="s">
        <v>60</v>
      </c>
      <c r="G84" s="152" t="s">
        <v>61</v>
      </c>
      <c r="H84" s="152" t="s">
        <v>62</v>
      </c>
      <c r="I84" s="152" t="s">
        <v>63</v>
      </c>
      <c r="J84" s="152" t="s">
        <v>64</v>
      </c>
      <c r="K84" s="153" t="s">
        <v>65</v>
      </c>
    </row>
    <row r="85" spans="1:16" ht="15" customHeight="1">
      <c r="A85" s="1938"/>
      <c r="B85" s="1899"/>
      <c r="C85" s="72">
        <v>2014</v>
      </c>
      <c r="D85" s="154"/>
      <c r="E85" s="155"/>
      <c r="F85" s="31"/>
      <c r="G85" s="31"/>
      <c r="H85" s="31"/>
      <c r="I85" s="31"/>
      <c r="J85" s="31"/>
      <c r="K85" s="34"/>
    </row>
    <row r="86" spans="1:16">
      <c r="A86" s="1939"/>
      <c r="B86" s="1899"/>
      <c r="C86" s="73">
        <v>2015</v>
      </c>
      <c r="D86" s="156"/>
      <c r="E86" s="112"/>
      <c r="F86" s="38"/>
      <c r="G86" s="38"/>
      <c r="H86" s="38"/>
      <c r="I86" s="38"/>
      <c r="J86" s="38"/>
      <c r="K86" s="88"/>
    </row>
    <row r="87" spans="1:16">
      <c r="A87" s="1939"/>
      <c r="B87" s="1899"/>
      <c r="C87" s="73">
        <v>2016</v>
      </c>
      <c r="D87" s="156"/>
      <c r="E87" s="112"/>
      <c r="F87" s="38"/>
      <c r="G87" s="38"/>
      <c r="H87" s="38"/>
      <c r="I87" s="38"/>
      <c r="J87" s="38"/>
      <c r="K87" s="88"/>
    </row>
    <row r="88" spans="1:16">
      <c r="A88" s="1939"/>
      <c r="B88" s="1899"/>
      <c r="C88" s="73">
        <v>2017</v>
      </c>
      <c r="D88" s="156"/>
      <c r="E88" s="112"/>
      <c r="F88" s="38"/>
      <c r="G88" s="38"/>
      <c r="H88" s="38"/>
      <c r="I88" s="38"/>
      <c r="J88" s="38"/>
      <c r="K88" s="88"/>
    </row>
    <row r="89" spans="1:16">
      <c r="A89" s="1939"/>
      <c r="B89" s="1899"/>
      <c r="C89" s="73">
        <v>2018</v>
      </c>
      <c r="D89" s="156"/>
      <c r="E89" s="112"/>
      <c r="F89" s="38"/>
      <c r="G89" s="38"/>
      <c r="H89" s="38"/>
      <c r="I89" s="38"/>
      <c r="J89" s="38"/>
      <c r="K89" s="88"/>
    </row>
    <row r="90" spans="1:16">
      <c r="A90" s="1939"/>
      <c r="B90" s="1899"/>
      <c r="C90" s="73">
        <v>2019</v>
      </c>
      <c r="D90" s="156"/>
      <c r="E90" s="112"/>
      <c r="F90" s="38"/>
      <c r="G90" s="38"/>
      <c r="H90" s="38"/>
      <c r="I90" s="38"/>
      <c r="J90" s="38"/>
      <c r="K90" s="88"/>
    </row>
    <row r="91" spans="1:16">
      <c r="A91" s="1939"/>
      <c r="B91" s="1899"/>
      <c r="C91" s="73">
        <v>2020</v>
      </c>
      <c r="D91" s="156"/>
      <c r="E91" s="112"/>
      <c r="F91" s="38"/>
      <c r="G91" s="38"/>
      <c r="H91" s="38"/>
      <c r="I91" s="38"/>
      <c r="J91" s="38"/>
      <c r="K91" s="88"/>
    </row>
    <row r="92" spans="1:16" ht="18" customHeight="1" thickBot="1">
      <c r="A92" s="1940"/>
      <c r="B92" s="1900"/>
      <c r="C92" s="136" t="s">
        <v>13</v>
      </c>
      <c r="D92" s="157">
        <f t="shared" ref="D92:I92" si="7">SUM(D85:D91)</f>
        <v>0</v>
      </c>
      <c r="E92" s="115">
        <f t="shared" si="7"/>
        <v>0</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1909" t="s">
        <v>68</v>
      </c>
      <c r="B96" s="1911" t="s">
        <v>179</v>
      </c>
      <c r="C96" s="1924" t="s">
        <v>9</v>
      </c>
      <c r="D96" s="1916" t="s">
        <v>70</v>
      </c>
      <c r="E96" s="1917"/>
      <c r="F96" s="162" t="s">
        <v>71</v>
      </c>
      <c r="G96" s="163"/>
      <c r="H96" s="163"/>
      <c r="I96" s="163"/>
      <c r="J96" s="163"/>
      <c r="K96" s="163"/>
      <c r="L96" s="163"/>
      <c r="M96" s="164"/>
      <c r="N96" s="165"/>
      <c r="O96" s="165"/>
      <c r="P96" s="165"/>
    </row>
    <row r="97" spans="1:16" ht="100.5" customHeight="1">
      <c r="A97" s="1910"/>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1898"/>
      <c r="B98" s="1899"/>
      <c r="C98" s="106">
        <v>2014</v>
      </c>
      <c r="D98" s="30"/>
      <c r="E98" s="31"/>
      <c r="F98" s="174"/>
      <c r="G98" s="175"/>
      <c r="H98" s="175"/>
      <c r="I98" s="175"/>
      <c r="J98" s="175"/>
      <c r="K98" s="175"/>
      <c r="L98" s="175"/>
      <c r="M98" s="176"/>
      <c r="N98" s="165"/>
      <c r="O98" s="165"/>
      <c r="P98" s="165"/>
    </row>
    <row r="99" spans="1:16" ht="16.5" customHeight="1">
      <c r="A99" s="1891"/>
      <c r="B99" s="1899"/>
      <c r="C99" s="110">
        <v>2015</v>
      </c>
      <c r="D99" s="37"/>
      <c r="E99" s="38"/>
      <c r="F99" s="177"/>
      <c r="G99" s="178"/>
      <c r="H99" s="178"/>
      <c r="I99" s="178"/>
      <c r="J99" s="178"/>
      <c r="K99" s="178"/>
      <c r="L99" s="178"/>
      <c r="M99" s="179"/>
      <c r="N99" s="165"/>
      <c r="O99" s="165"/>
      <c r="P99" s="165"/>
    </row>
    <row r="100" spans="1:16" ht="16.5" customHeight="1">
      <c r="A100" s="1891"/>
      <c r="B100" s="1899"/>
      <c r="C100" s="110">
        <v>2016</v>
      </c>
      <c r="D100" s="37"/>
      <c r="E100" s="38"/>
      <c r="F100" s="177"/>
      <c r="G100" s="178"/>
      <c r="H100" s="178"/>
      <c r="I100" s="178"/>
      <c r="J100" s="178"/>
      <c r="K100" s="178"/>
      <c r="L100" s="178"/>
      <c r="M100" s="179"/>
      <c r="N100" s="165"/>
      <c r="O100" s="165"/>
      <c r="P100" s="165"/>
    </row>
    <row r="101" spans="1:16" ht="16.5" customHeight="1">
      <c r="A101" s="1891"/>
      <c r="B101" s="1899"/>
      <c r="C101" s="110">
        <v>2017</v>
      </c>
      <c r="D101" s="37"/>
      <c r="E101" s="38"/>
      <c r="F101" s="177"/>
      <c r="G101" s="178"/>
      <c r="H101" s="178"/>
      <c r="I101" s="178"/>
      <c r="J101" s="178"/>
      <c r="K101" s="178"/>
      <c r="L101" s="178"/>
      <c r="M101" s="179"/>
      <c r="N101" s="165"/>
      <c r="O101" s="165"/>
      <c r="P101" s="165"/>
    </row>
    <row r="102" spans="1:16" ht="15.75" customHeight="1">
      <c r="A102" s="1891"/>
      <c r="B102" s="1899"/>
      <c r="C102" s="110">
        <v>2018</v>
      </c>
      <c r="D102" s="37"/>
      <c r="E102" s="38"/>
      <c r="F102" s="177"/>
      <c r="G102" s="178"/>
      <c r="H102" s="178"/>
      <c r="I102" s="178"/>
      <c r="J102" s="178"/>
      <c r="K102" s="178"/>
      <c r="L102" s="178"/>
      <c r="M102" s="179"/>
      <c r="N102" s="165"/>
      <c r="O102" s="165"/>
      <c r="P102" s="165"/>
    </row>
    <row r="103" spans="1:16" ht="14.25" customHeight="1">
      <c r="A103" s="1891"/>
      <c r="B103" s="1899"/>
      <c r="C103" s="110">
        <v>2019</v>
      </c>
      <c r="D103" s="37"/>
      <c r="E103" s="38"/>
      <c r="F103" s="177"/>
      <c r="G103" s="178"/>
      <c r="H103" s="178"/>
      <c r="I103" s="178"/>
      <c r="J103" s="178"/>
      <c r="K103" s="178"/>
      <c r="L103" s="178"/>
      <c r="M103" s="179"/>
      <c r="N103" s="165"/>
      <c r="O103" s="165"/>
      <c r="P103" s="165"/>
    </row>
    <row r="104" spans="1:16" ht="14.25" customHeight="1">
      <c r="A104" s="1891"/>
      <c r="B104" s="1899"/>
      <c r="C104" s="110">
        <v>2020</v>
      </c>
      <c r="D104" s="37"/>
      <c r="E104" s="38"/>
      <c r="F104" s="177"/>
      <c r="G104" s="178"/>
      <c r="H104" s="178"/>
      <c r="I104" s="178"/>
      <c r="J104" s="178"/>
      <c r="K104" s="178"/>
      <c r="L104" s="178"/>
      <c r="M104" s="179"/>
      <c r="N104" s="165"/>
      <c r="O104" s="165"/>
      <c r="P104" s="165"/>
    </row>
    <row r="105" spans="1:16" ht="19.5" customHeight="1" thickBot="1">
      <c r="A105" s="1915"/>
      <c r="B105" s="1900"/>
      <c r="C105" s="113" t="s">
        <v>13</v>
      </c>
      <c r="D105" s="139">
        <f>SUM(D98:D104)</f>
        <v>0</v>
      </c>
      <c r="E105" s="116">
        <f t="shared" ref="E105:K105" si="8">SUM(E98:E104)</f>
        <v>0</v>
      </c>
      <c r="F105" s="180">
        <f t="shared" si="8"/>
        <v>0</v>
      </c>
      <c r="G105" s="181">
        <f t="shared" si="8"/>
        <v>0</v>
      </c>
      <c r="H105" s="181">
        <f t="shared" si="8"/>
        <v>0</v>
      </c>
      <c r="I105" s="181">
        <f>SUM(I98:I104)</f>
        <v>0</v>
      </c>
      <c r="J105" s="181">
        <f t="shared" si="8"/>
        <v>0</v>
      </c>
      <c r="K105" s="181">
        <f t="shared" si="8"/>
        <v>0</v>
      </c>
      <c r="L105" s="181">
        <f>SUM(L98:L104)</f>
        <v>0</v>
      </c>
      <c r="M105" s="182">
        <f>SUM(M98:M104)</f>
        <v>0</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1909" t="s">
        <v>77</v>
      </c>
      <c r="B107" s="1911" t="s">
        <v>179</v>
      </c>
      <c r="C107" s="1924" t="s">
        <v>9</v>
      </c>
      <c r="D107" s="1926" t="s">
        <v>78</v>
      </c>
      <c r="E107" s="162" t="s">
        <v>79</v>
      </c>
      <c r="F107" s="163"/>
      <c r="G107" s="163"/>
      <c r="H107" s="163"/>
      <c r="I107" s="163"/>
      <c r="J107" s="163"/>
      <c r="K107" s="163"/>
      <c r="L107" s="164"/>
      <c r="M107" s="185"/>
      <c r="N107" s="185"/>
    </row>
    <row r="108" spans="1:16" ht="103.5"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1898"/>
      <c r="B109" s="1899"/>
      <c r="C109" s="106">
        <v>2014</v>
      </c>
      <c r="D109" s="31"/>
      <c r="E109" s="174"/>
      <c r="F109" s="175"/>
      <c r="G109" s="175"/>
      <c r="H109" s="175"/>
      <c r="I109" s="175"/>
      <c r="J109" s="175"/>
      <c r="K109" s="175"/>
      <c r="L109" s="176"/>
      <c r="M109" s="185"/>
      <c r="N109" s="185"/>
    </row>
    <row r="110" spans="1:16">
      <c r="A110" s="1891"/>
      <c r="B110" s="1899"/>
      <c r="C110" s="110">
        <v>2015</v>
      </c>
      <c r="D110" s="38"/>
      <c r="E110" s="177"/>
      <c r="F110" s="178"/>
      <c r="G110" s="178"/>
      <c r="H110" s="178"/>
      <c r="I110" s="178"/>
      <c r="J110" s="178"/>
      <c r="K110" s="178"/>
      <c r="L110" s="179"/>
      <c r="M110" s="185"/>
      <c r="N110" s="185"/>
    </row>
    <row r="111" spans="1:16">
      <c r="A111" s="1891"/>
      <c r="B111" s="1899"/>
      <c r="C111" s="110">
        <v>2016</v>
      </c>
      <c r="D111" s="38"/>
      <c r="E111" s="177"/>
      <c r="F111" s="178"/>
      <c r="G111" s="178"/>
      <c r="H111" s="178"/>
      <c r="I111" s="178"/>
      <c r="J111" s="178"/>
      <c r="K111" s="178"/>
      <c r="L111" s="179"/>
      <c r="M111" s="185"/>
      <c r="N111" s="185"/>
    </row>
    <row r="112" spans="1:16">
      <c r="A112" s="1891"/>
      <c r="B112" s="1899"/>
      <c r="C112" s="110">
        <v>2017</v>
      </c>
      <c r="D112" s="38"/>
      <c r="E112" s="177"/>
      <c r="F112" s="178"/>
      <c r="G112" s="178"/>
      <c r="H112" s="178"/>
      <c r="I112" s="178"/>
      <c r="J112" s="178"/>
      <c r="K112" s="178"/>
      <c r="L112" s="179"/>
      <c r="M112" s="185"/>
      <c r="N112" s="185"/>
    </row>
    <row r="113" spans="1:14">
      <c r="A113" s="1891"/>
      <c r="B113" s="1899"/>
      <c r="C113" s="110">
        <v>2018</v>
      </c>
      <c r="D113" s="38"/>
      <c r="E113" s="177"/>
      <c r="F113" s="178"/>
      <c r="G113" s="178"/>
      <c r="H113" s="178"/>
      <c r="I113" s="178"/>
      <c r="J113" s="178"/>
      <c r="K113" s="178"/>
      <c r="L113" s="179"/>
      <c r="M113" s="185"/>
      <c r="N113" s="185"/>
    </row>
    <row r="114" spans="1:14">
      <c r="A114" s="1891"/>
      <c r="B114" s="1899"/>
      <c r="C114" s="110">
        <v>2019</v>
      </c>
      <c r="D114" s="38"/>
      <c r="E114" s="177"/>
      <c r="F114" s="178"/>
      <c r="G114" s="178"/>
      <c r="H114" s="178"/>
      <c r="I114" s="178"/>
      <c r="J114" s="178"/>
      <c r="K114" s="178"/>
      <c r="L114" s="179"/>
      <c r="M114" s="185"/>
      <c r="N114" s="185"/>
    </row>
    <row r="115" spans="1:14">
      <c r="A115" s="1891"/>
      <c r="B115" s="1899"/>
      <c r="C115" s="110">
        <v>2020</v>
      </c>
      <c r="D115" s="38"/>
      <c r="E115" s="177"/>
      <c r="F115" s="178"/>
      <c r="G115" s="178"/>
      <c r="H115" s="178"/>
      <c r="I115" s="178"/>
      <c r="J115" s="178"/>
      <c r="K115" s="178"/>
      <c r="L115" s="179"/>
      <c r="M115" s="185"/>
      <c r="N115" s="185"/>
    </row>
    <row r="116" spans="1:14" ht="25.5" customHeight="1" thickBot="1">
      <c r="A116" s="1915"/>
      <c r="B116" s="1900"/>
      <c r="C116" s="113" t="s">
        <v>13</v>
      </c>
      <c r="D116" s="116">
        <f t="shared" ref="D116:I116" si="9">SUM(D109:D115)</f>
        <v>0</v>
      </c>
      <c r="E116" s="180">
        <f t="shared" si="9"/>
        <v>0</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1909" t="s">
        <v>81</v>
      </c>
      <c r="B118" s="1911" t="s">
        <v>179</v>
      </c>
      <c r="C118" s="1924" t="s">
        <v>9</v>
      </c>
      <c r="D118" s="1926" t="s">
        <v>82</v>
      </c>
      <c r="E118" s="162" t="s">
        <v>79</v>
      </c>
      <c r="F118" s="163"/>
      <c r="G118" s="163"/>
      <c r="H118" s="163"/>
      <c r="I118" s="163"/>
      <c r="J118" s="163"/>
      <c r="K118" s="163"/>
      <c r="L118" s="164"/>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1898"/>
      <c r="B120" s="1899"/>
      <c r="C120" s="106">
        <v>2014</v>
      </c>
      <c r="D120" s="31"/>
      <c r="E120" s="174"/>
      <c r="F120" s="175"/>
      <c r="G120" s="175"/>
      <c r="H120" s="175"/>
      <c r="I120" s="175"/>
      <c r="J120" s="175"/>
      <c r="K120" s="175"/>
      <c r="L120" s="176"/>
      <c r="M120" s="185"/>
      <c r="N120" s="185"/>
    </row>
    <row r="121" spans="1:14">
      <c r="A121" s="1891"/>
      <c r="B121" s="1899"/>
      <c r="C121" s="110">
        <v>2015</v>
      </c>
      <c r="D121" s="38"/>
      <c r="E121" s="177"/>
      <c r="F121" s="178"/>
      <c r="G121" s="178"/>
      <c r="H121" s="178"/>
      <c r="I121" s="178"/>
      <c r="J121" s="178"/>
      <c r="K121" s="178"/>
      <c r="L121" s="179"/>
      <c r="M121" s="185"/>
      <c r="N121" s="185"/>
    </row>
    <row r="122" spans="1:14">
      <c r="A122" s="1891"/>
      <c r="B122" s="1899"/>
      <c r="C122" s="110">
        <v>2016</v>
      </c>
      <c r="D122" s="38"/>
      <c r="E122" s="177"/>
      <c r="F122" s="178"/>
      <c r="G122" s="178"/>
      <c r="H122" s="178"/>
      <c r="I122" s="178"/>
      <c r="J122" s="178"/>
      <c r="K122" s="178"/>
      <c r="L122" s="179"/>
      <c r="M122" s="185"/>
      <c r="N122" s="185"/>
    </row>
    <row r="123" spans="1:14">
      <c r="A123" s="1891"/>
      <c r="B123" s="1899"/>
      <c r="C123" s="110">
        <v>2017</v>
      </c>
      <c r="D123" s="38"/>
      <c r="E123" s="177"/>
      <c r="F123" s="178"/>
      <c r="G123" s="178"/>
      <c r="H123" s="178"/>
      <c r="I123" s="178"/>
      <c r="J123" s="178"/>
      <c r="K123" s="178"/>
      <c r="L123" s="179"/>
      <c r="M123" s="185"/>
      <c r="N123" s="185"/>
    </row>
    <row r="124" spans="1:14">
      <c r="A124" s="1891"/>
      <c r="B124" s="1899"/>
      <c r="C124" s="110">
        <v>2018</v>
      </c>
      <c r="D124" s="38"/>
      <c r="E124" s="177"/>
      <c r="F124" s="178"/>
      <c r="G124" s="178"/>
      <c r="H124" s="178"/>
      <c r="I124" s="178"/>
      <c r="J124" s="178"/>
      <c r="K124" s="178"/>
      <c r="L124" s="179"/>
      <c r="M124" s="185"/>
      <c r="N124" s="185"/>
    </row>
    <row r="125" spans="1:14">
      <c r="A125" s="1891"/>
      <c r="B125" s="1899"/>
      <c r="C125" s="110">
        <v>2019</v>
      </c>
      <c r="D125" s="38"/>
      <c r="E125" s="177"/>
      <c r="F125" s="178"/>
      <c r="G125" s="178"/>
      <c r="H125" s="178"/>
      <c r="I125" s="178"/>
      <c r="J125" s="178"/>
      <c r="K125" s="178"/>
      <c r="L125" s="179"/>
      <c r="M125" s="185"/>
      <c r="N125" s="185"/>
    </row>
    <row r="126" spans="1:14">
      <c r="A126" s="1891"/>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1909" t="s">
        <v>84</v>
      </c>
      <c r="B129" s="1911" t="s">
        <v>179</v>
      </c>
      <c r="C129" s="188" t="s">
        <v>9</v>
      </c>
      <c r="D129" s="189" t="s">
        <v>85</v>
      </c>
      <c r="E129" s="190"/>
      <c r="F129" s="190"/>
      <c r="G129" s="191"/>
      <c r="H129" s="185"/>
      <c r="I129" s="185"/>
      <c r="J129" s="185"/>
      <c r="K129" s="185"/>
      <c r="L129" s="185"/>
      <c r="M129" s="185"/>
      <c r="N129" s="185"/>
    </row>
    <row r="130" spans="1:16" ht="77.25" customHeight="1">
      <c r="A130" s="1910"/>
      <c r="B130" s="1912"/>
      <c r="C130" s="192"/>
      <c r="D130" s="166" t="s">
        <v>86</v>
      </c>
      <c r="E130" s="193" t="s">
        <v>87</v>
      </c>
      <c r="F130" s="167" t="s">
        <v>88</v>
      </c>
      <c r="G130" s="194" t="s">
        <v>13</v>
      </c>
      <c r="H130" s="185"/>
      <c r="I130" s="185"/>
      <c r="J130" s="185"/>
      <c r="K130" s="185"/>
      <c r="L130" s="185"/>
      <c r="M130" s="185"/>
      <c r="N130" s="185"/>
    </row>
    <row r="131" spans="1:16" ht="15" customHeight="1">
      <c r="A131" s="1874"/>
      <c r="B131" s="1855"/>
      <c r="C131" s="106">
        <v>2015</v>
      </c>
      <c r="D131" s="30"/>
      <c r="E131" s="31"/>
      <c r="F131" s="31"/>
      <c r="G131" s="195">
        <f t="shared" ref="G131:G136" si="11">SUM(D131:F131)</f>
        <v>0</v>
      </c>
      <c r="H131" s="185"/>
      <c r="I131" s="185"/>
      <c r="J131" s="185"/>
      <c r="K131" s="185"/>
      <c r="L131" s="185"/>
      <c r="M131" s="185"/>
      <c r="N131" s="185"/>
    </row>
    <row r="132" spans="1:16">
      <c r="A132" s="1854"/>
      <c r="B132" s="1855"/>
      <c r="C132" s="110">
        <v>2016</v>
      </c>
      <c r="D132" s="37"/>
      <c r="E132" s="38"/>
      <c r="F132" s="38"/>
      <c r="G132" s="195">
        <f t="shared" si="11"/>
        <v>0</v>
      </c>
      <c r="H132" s="185"/>
      <c r="I132" s="185"/>
      <c r="J132" s="185"/>
      <c r="K132" s="185"/>
      <c r="L132" s="185"/>
      <c r="M132" s="185"/>
      <c r="N132" s="185"/>
    </row>
    <row r="133" spans="1:16">
      <c r="A133" s="1854"/>
      <c r="B133" s="1855"/>
      <c r="C133" s="110">
        <v>2017</v>
      </c>
      <c r="D133" s="37"/>
      <c r="E133" s="38"/>
      <c r="F133" s="38"/>
      <c r="G133" s="195">
        <f t="shared" si="11"/>
        <v>0</v>
      </c>
      <c r="H133" s="185"/>
      <c r="I133" s="185"/>
      <c r="J133" s="185"/>
      <c r="K133" s="185"/>
      <c r="L133" s="185"/>
      <c r="M133" s="185"/>
      <c r="N133" s="185"/>
    </row>
    <row r="134" spans="1:16">
      <c r="A134" s="1854"/>
      <c r="B134" s="1855"/>
      <c r="C134" s="110">
        <v>2018</v>
      </c>
      <c r="D134" s="37"/>
      <c r="E134" s="38"/>
      <c r="F134" s="38"/>
      <c r="G134" s="195">
        <f t="shared" si="11"/>
        <v>0</v>
      </c>
      <c r="H134" s="185"/>
      <c r="I134" s="185"/>
      <c r="J134" s="185"/>
      <c r="K134" s="185"/>
      <c r="L134" s="185"/>
      <c r="M134" s="185"/>
      <c r="N134" s="185"/>
    </row>
    <row r="135" spans="1:16">
      <c r="A135" s="1854"/>
      <c r="B135" s="1855"/>
      <c r="C135" s="110">
        <v>2019</v>
      </c>
      <c r="D135" s="37"/>
      <c r="E135" s="38"/>
      <c r="F135" s="38"/>
      <c r="G135" s="195">
        <f t="shared" si="11"/>
        <v>0</v>
      </c>
      <c r="H135" s="185"/>
      <c r="I135" s="185"/>
      <c r="J135" s="185"/>
      <c r="K135" s="185"/>
      <c r="L135" s="185"/>
      <c r="M135" s="185"/>
      <c r="N135" s="185"/>
    </row>
    <row r="136" spans="1:16">
      <c r="A136" s="1854"/>
      <c r="B136" s="1855"/>
      <c r="C136" s="110">
        <v>2020</v>
      </c>
      <c r="D136" s="37"/>
      <c r="E136" s="38"/>
      <c r="F136" s="38"/>
      <c r="G136" s="195">
        <f t="shared" si="11"/>
        <v>0</v>
      </c>
      <c r="H136" s="185"/>
      <c r="I136" s="185"/>
      <c r="J136" s="185"/>
      <c r="K136" s="185"/>
      <c r="L136" s="185"/>
      <c r="M136" s="185"/>
      <c r="N136" s="185"/>
    </row>
    <row r="137" spans="1:16" ht="17.25" customHeight="1" thickBot="1">
      <c r="A137" s="1856"/>
      <c r="B137" s="1857"/>
      <c r="C137" s="113" t="s">
        <v>13</v>
      </c>
      <c r="D137" s="139">
        <f>SUM(D131:D136)</f>
        <v>0</v>
      </c>
      <c r="E137" s="139">
        <f t="shared" ref="E137:F137" si="12">SUM(E131:E136)</f>
        <v>0</v>
      </c>
      <c r="F137" s="139">
        <f t="shared" si="12"/>
        <v>0</v>
      </c>
      <c r="G137" s="196">
        <f>SUM(G131:G136)</f>
        <v>0</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1913" t="s">
        <v>91</v>
      </c>
      <c r="B142" s="1903" t="s">
        <v>179</v>
      </c>
      <c r="C142" s="1907" t="s">
        <v>9</v>
      </c>
      <c r="D142" s="203" t="s">
        <v>92</v>
      </c>
      <c r="E142" s="204"/>
      <c r="F142" s="204"/>
      <c r="G142" s="204"/>
      <c r="H142" s="204"/>
      <c r="I142" s="205"/>
      <c r="J142" s="1895" t="s">
        <v>93</v>
      </c>
      <c r="K142" s="1896"/>
      <c r="L142" s="1896"/>
      <c r="M142" s="1896"/>
      <c r="N142" s="1897"/>
      <c r="O142" s="165"/>
      <c r="P142" s="165"/>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c r="B144" s="1899"/>
      <c r="C144" s="106">
        <v>2014</v>
      </c>
      <c r="D144" s="30"/>
      <c r="E144" s="30"/>
      <c r="F144" s="31"/>
      <c r="G144" s="175"/>
      <c r="H144" s="175"/>
      <c r="I144" s="213">
        <f>D144+F144+G144+H144</f>
        <v>0</v>
      </c>
      <c r="J144" s="214"/>
      <c r="K144" s="215"/>
      <c r="L144" s="214"/>
      <c r="M144" s="215"/>
      <c r="N144" s="216"/>
      <c r="O144" s="165"/>
      <c r="P144" s="165"/>
    </row>
    <row r="145" spans="1:16" ht="19.5" customHeight="1">
      <c r="A145" s="1891"/>
      <c r="B145" s="1899"/>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1891"/>
      <c r="B146" s="1899"/>
      <c r="C146" s="110">
        <v>2016</v>
      </c>
      <c r="D146" s="37"/>
      <c r="E146" s="37"/>
      <c r="F146" s="38"/>
      <c r="G146" s="178"/>
      <c r="H146" s="178"/>
      <c r="I146" s="213">
        <f t="shared" si="13"/>
        <v>0</v>
      </c>
      <c r="J146" s="217"/>
      <c r="K146" s="218"/>
      <c r="L146" s="217"/>
      <c r="M146" s="218"/>
      <c r="N146" s="219"/>
      <c r="O146" s="165"/>
      <c r="P146" s="165"/>
    </row>
    <row r="147" spans="1:16" ht="17.25" customHeight="1">
      <c r="A147" s="1891"/>
      <c r="B147" s="1899"/>
      <c r="C147" s="110">
        <v>2017</v>
      </c>
      <c r="D147" s="37"/>
      <c r="E147" s="37"/>
      <c r="F147" s="38"/>
      <c r="G147" s="178"/>
      <c r="H147" s="178"/>
      <c r="I147" s="213">
        <f t="shared" si="13"/>
        <v>0</v>
      </c>
      <c r="J147" s="217"/>
      <c r="K147" s="218"/>
      <c r="L147" s="217"/>
      <c r="M147" s="218"/>
      <c r="N147" s="219"/>
      <c r="O147" s="165"/>
      <c r="P147" s="165"/>
    </row>
    <row r="148" spans="1:16" ht="19.5" customHeight="1">
      <c r="A148" s="1891"/>
      <c r="B148" s="1899"/>
      <c r="C148" s="110">
        <v>2018</v>
      </c>
      <c r="D148" s="37"/>
      <c r="E148" s="37"/>
      <c r="F148" s="38"/>
      <c r="G148" s="178"/>
      <c r="H148" s="178"/>
      <c r="I148" s="213">
        <f t="shared" si="13"/>
        <v>0</v>
      </c>
      <c r="J148" s="217"/>
      <c r="K148" s="218"/>
      <c r="L148" s="217"/>
      <c r="M148" s="218"/>
      <c r="N148" s="219"/>
      <c r="O148" s="165"/>
      <c r="P148" s="165"/>
    </row>
    <row r="149" spans="1:16" ht="19.5" customHeight="1">
      <c r="A149" s="1891"/>
      <c r="B149" s="1899"/>
      <c r="C149" s="110">
        <v>2019</v>
      </c>
      <c r="D149" s="37"/>
      <c r="E149" s="37"/>
      <c r="F149" s="38"/>
      <c r="G149" s="178"/>
      <c r="H149" s="178"/>
      <c r="I149" s="213">
        <f t="shared" si="13"/>
        <v>0</v>
      </c>
      <c r="J149" s="217"/>
      <c r="K149" s="218"/>
      <c r="L149" s="217"/>
      <c r="M149" s="218"/>
      <c r="N149" s="219"/>
      <c r="O149" s="165"/>
      <c r="P149" s="165"/>
    </row>
    <row r="150" spans="1:16" ht="18.75" customHeight="1">
      <c r="A150" s="1891"/>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1901" t="s">
        <v>105</v>
      </c>
      <c r="B153" s="1903" t="s">
        <v>179</v>
      </c>
      <c r="C153" s="1905" t="s">
        <v>9</v>
      </c>
      <c r="D153" s="225" t="s">
        <v>106</v>
      </c>
      <c r="E153" s="225"/>
      <c r="F153" s="226"/>
      <c r="G153" s="226"/>
      <c r="H153" s="225" t="s">
        <v>107</v>
      </c>
      <c r="I153" s="225"/>
      <c r="J153" s="227"/>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1898"/>
      <c r="B155" s="1899"/>
      <c r="C155" s="233">
        <v>2014</v>
      </c>
      <c r="D155" s="214"/>
      <c r="E155" s="175"/>
      <c r="F155" s="215"/>
      <c r="G155" s="213">
        <f>SUM(D155:F155)</f>
        <v>0</v>
      </c>
      <c r="H155" s="214"/>
      <c r="I155" s="175"/>
      <c r="J155" s="176"/>
      <c r="O155" s="165"/>
      <c r="P155" s="165"/>
    </row>
    <row r="156" spans="1:16" ht="19.5" customHeight="1">
      <c r="A156" s="1891"/>
      <c r="B156" s="1899"/>
      <c r="C156" s="234">
        <v>2015</v>
      </c>
      <c r="D156" s="217"/>
      <c r="E156" s="178"/>
      <c r="F156" s="218"/>
      <c r="G156" s="213">
        <f t="shared" ref="G156:G161" si="15">SUM(D156:F156)</f>
        <v>0</v>
      </c>
      <c r="H156" s="217"/>
      <c r="I156" s="178"/>
      <c r="J156" s="179"/>
      <c r="O156" s="165"/>
      <c r="P156" s="165"/>
    </row>
    <row r="157" spans="1:16" ht="17.25" customHeight="1">
      <c r="A157" s="1891"/>
      <c r="B157" s="1899"/>
      <c r="C157" s="234">
        <v>2016</v>
      </c>
      <c r="D157" s="217"/>
      <c r="E157" s="178"/>
      <c r="F157" s="218"/>
      <c r="G157" s="213">
        <f t="shared" si="15"/>
        <v>0</v>
      </c>
      <c r="H157" s="217"/>
      <c r="I157" s="178"/>
      <c r="J157" s="179"/>
      <c r="O157" s="165"/>
      <c r="P157" s="165"/>
    </row>
    <row r="158" spans="1:16" ht="15" customHeight="1">
      <c r="A158" s="1891"/>
      <c r="B158" s="1899"/>
      <c r="C158" s="234">
        <v>2017</v>
      </c>
      <c r="D158" s="217"/>
      <c r="E158" s="178"/>
      <c r="F158" s="218"/>
      <c r="G158" s="213">
        <f t="shared" si="15"/>
        <v>0</v>
      </c>
      <c r="H158" s="217"/>
      <c r="I158" s="178"/>
      <c r="J158" s="179"/>
      <c r="O158" s="165"/>
      <c r="P158" s="165"/>
    </row>
    <row r="159" spans="1:16" ht="19.5" customHeight="1">
      <c r="A159" s="1891"/>
      <c r="B159" s="1899"/>
      <c r="C159" s="234">
        <v>2018</v>
      </c>
      <c r="D159" s="217"/>
      <c r="E159" s="178"/>
      <c r="F159" s="218"/>
      <c r="G159" s="213">
        <f t="shared" si="15"/>
        <v>0</v>
      </c>
      <c r="H159" s="217"/>
      <c r="I159" s="178"/>
      <c r="J159" s="179"/>
      <c r="O159" s="165"/>
      <c r="P159" s="165"/>
    </row>
    <row r="160" spans="1:16" ht="15" customHeight="1">
      <c r="A160" s="1891"/>
      <c r="B160" s="1899"/>
      <c r="C160" s="234">
        <v>2019</v>
      </c>
      <c r="D160" s="217"/>
      <c r="E160" s="178"/>
      <c r="F160" s="218"/>
      <c r="G160" s="213">
        <f t="shared" si="15"/>
        <v>0</v>
      </c>
      <c r="H160" s="217"/>
      <c r="I160" s="178"/>
      <c r="J160" s="179"/>
      <c r="O160" s="165"/>
      <c r="P160" s="165"/>
    </row>
    <row r="161" spans="1:18" ht="17.25" customHeight="1">
      <c r="A161" s="1891"/>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240"/>
      <c r="F163" s="165"/>
      <c r="G163" s="165"/>
      <c r="H163" s="165"/>
      <c r="I163" s="165"/>
      <c r="J163" s="241"/>
      <c r="K163" s="242"/>
    </row>
    <row r="164" spans="1:18" ht="95.25" customHeight="1">
      <c r="A164" s="243" t="s">
        <v>115</v>
      </c>
      <c r="B164" s="405" t="s">
        <v>181</v>
      </c>
      <c r="C164" s="245" t="s">
        <v>9</v>
      </c>
      <c r="D164" s="246" t="s">
        <v>117</v>
      </c>
      <c r="E164" s="246" t="s">
        <v>118</v>
      </c>
      <c r="F164" s="247" t="s">
        <v>119</v>
      </c>
      <c r="G164" s="246" t="s">
        <v>120</v>
      </c>
      <c r="H164" s="246" t="s">
        <v>121</v>
      </c>
      <c r="I164" s="248" t="s">
        <v>122</v>
      </c>
      <c r="J164" s="249" t="s">
        <v>123</v>
      </c>
      <c r="K164" s="249" t="s">
        <v>124</v>
      </c>
      <c r="L164" s="406"/>
    </row>
    <row r="165" spans="1:18" ht="15.75" customHeight="1">
      <c r="A165" s="1878"/>
      <c r="B165" s="1879"/>
      <c r="C165" s="251">
        <v>2014</v>
      </c>
      <c r="D165" s="175"/>
      <c r="E165" s="175"/>
      <c r="F165" s="175"/>
      <c r="G165" s="175"/>
      <c r="H165" s="175"/>
      <c r="I165" s="176"/>
      <c r="J165" s="252">
        <f>SUM(D165,F165,H165)</f>
        <v>0</v>
      </c>
      <c r="K165" s="253">
        <f>SUM(E165,G165,I165)</f>
        <v>0</v>
      </c>
      <c r="L165" s="406"/>
    </row>
    <row r="166" spans="1:18">
      <c r="A166" s="1880"/>
      <c r="B166" s="1881"/>
      <c r="C166" s="254">
        <v>2015</v>
      </c>
      <c r="D166" s="255"/>
      <c r="E166" s="255"/>
      <c r="F166" s="255"/>
      <c r="G166" s="255"/>
      <c r="H166" s="255"/>
      <c r="I166" s="256"/>
      <c r="J166" s="407">
        <f t="shared" ref="J166:K171" si="17">SUM(D166,F166,H166)</f>
        <v>0</v>
      </c>
      <c r="K166" s="408">
        <f t="shared" si="17"/>
        <v>0</v>
      </c>
      <c r="L166" s="406"/>
    </row>
    <row r="167" spans="1:18">
      <c r="A167" s="1880"/>
      <c r="B167" s="1881"/>
      <c r="C167" s="254">
        <v>2016</v>
      </c>
      <c r="D167" s="255"/>
      <c r="E167" s="255"/>
      <c r="F167" s="255"/>
      <c r="G167" s="255"/>
      <c r="H167" s="255"/>
      <c r="I167" s="256"/>
      <c r="J167" s="407">
        <f t="shared" si="17"/>
        <v>0</v>
      </c>
      <c r="K167" s="408">
        <f t="shared" si="17"/>
        <v>0</v>
      </c>
    </row>
    <row r="168" spans="1:18">
      <c r="A168" s="1880"/>
      <c r="B168" s="1881"/>
      <c r="C168" s="254">
        <v>2017</v>
      </c>
      <c r="D168" s="255"/>
      <c r="E168" s="165"/>
      <c r="F168" s="255"/>
      <c r="G168" s="255"/>
      <c r="H168" s="255"/>
      <c r="I168" s="256"/>
      <c r="J168" s="407">
        <f t="shared" si="17"/>
        <v>0</v>
      </c>
      <c r="K168" s="408">
        <f t="shared" si="17"/>
        <v>0</v>
      </c>
    </row>
    <row r="169" spans="1:18">
      <c r="A169" s="1880"/>
      <c r="B169" s="1881"/>
      <c r="C169" s="262">
        <v>2018</v>
      </c>
      <c r="D169" s="255"/>
      <c r="E169" s="255"/>
      <c r="F169" s="255"/>
      <c r="G169" s="263"/>
      <c r="H169" s="255"/>
      <c r="I169" s="256"/>
      <c r="J169" s="407">
        <f t="shared" si="17"/>
        <v>0</v>
      </c>
      <c r="K169" s="408">
        <f t="shared" si="17"/>
        <v>0</v>
      </c>
      <c r="L169" s="406"/>
    </row>
    <row r="170" spans="1:18">
      <c r="A170" s="1880"/>
      <c r="B170" s="1881"/>
      <c r="C170" s="254">
        <v>2019</v>
      </c>
      <c r="D170" s="165"/>
      <c r="E170" s="255"/>
      <c r="F170" s="255"/>
      <c r="G170" s="255"/>
      <c r="H170" s="263"/>
      <c r="I170" s="256"/>
      <c r="J170" s="407">
        <f t="shared" si="17"/>
        <v>0</v>
      </c>
      <c r="K170" s="408">
        <f t="shared" si="17"/>
        <v>0</v>
      </c>
      <c r="L170" s="406"/>
    </row>
    <row r="171" spans="1:18">
      <c r="A171" s="1880"/>
      <c r="B171" s="1881"/>
      <c r="C171" s="262">
        <v>2020</v>
      </c>
      <c r="D171" s="255"/>
      <c r="E171" s="255"/>
      <c r="F171" s="255"/>
      <c r="G171" s="255"/>
      <c r="H171" s="255"/>
      <c r="I171" s="256"/>
      <c r="J171" s="407">
        <f t="shared" si="17"/>
        <v>0</v>
      </c>
      <c r="K171" s="408">
        <f t="shared" si="17"/>
        <v>0</v>
      </c>
      <c r="L171" s="406"/>
    </row>
    <row r="172" spans="1:18" ht="41.25" customHeight="1" thickBot="1">
      <c r="A172" s="1882"/>
      <c r="B172" s="1883"/>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406"/>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1884" t="s">
        <v>127</v>
      </c>
      <c r="B176" s="1863" t="s">
        <v>182</v>
      </c>
      <c r="C176" s="1886" t="s">
        <v>9</v>
      </c>
      <c r="D176" s="273" t="s">
        <v>128</v>
      </c>
      <c r="E176" s="274"/>
      <c r="F176" s="274"/>
      <c r="G176" s="275"/>
      <c r="H176" s="276"/>
      <c r="I176" s="1888" t="s">
        <v>129</v>
      </c>
      <c r="J176" s="1889"/>
      <c r="K176" s="1889"/>
      <c r="L176" s="1889"/>
      <c r="M176" s="1889"/>
      <c r="N176" s="1889"/>
      <c r="O176" s="1890"/>
    </row>
    <row r="177" spans="1:15" s="56" customFormat="1" ht="129.7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1891" t="s">
        <v>191</v>
      </c>
      <c r="B178" s="1899"/>
      <c r="C178" s="106">
        <v>2014</v>
      </c>
      <c r="D178" s="30"/>
      <c r="E178" s="31"/>
      <c r="F178" s="31"/>
      <c r="G178" s="284">
        <f>SUM(D178:F178)</f>
        <v>0</v>
      </c>
      <c r="H178" s="155"/>
      <c r="I178" s="155"/>
      <c r="J178" s="31"/>
      <c r="K178" s="31"/>
      <c r="L178" s="31"/>
      <c r="M178" s="31"/>
      <c r="N178" s="31"/>
      <c r="O178" s="34"/>
    </row>
    <row r="179" spans="1:15">
      <c r="A179" s="1891"/>
      <c r="B179" s="1899"/>
      <c r="C179" s="110">
        <v>2015</v>
      </c>
      <c r="D179" s="37"/>
      <c r="E179" s="38"/>
      <c r="F179" s="38"/>
      <c r="G179" s="284">
        <f t="shared" ref="G179:G184" si="19">SUM(D179:F179)</f>
        <v>0</v>
      </c>
      <c r="H179" s="411"/>
      <c r="I179" s="112"/>
      <c r="J179" s="38"/>
      <c r="K179" s="38"/>
      <c r="L179" s="38"/>
      <c r="M179" s="38"/>
      <c r="N179" s="38"/>
      <c r="O179" s="88"/>
    </row>
    <row r="180" spans="1:15">
      <c r="A180" s="1891"/>
      <c r="B180" s="1899"/>
      <c r="C180" s="110">
        <v>2016</v>
      </c>
      <c r="D180" s="37">
        <v>27</v>
      </c>
      <c r="E180" s="38"/>
      <c r="F180" s="38"/>
      <c r="G180" s="284">
        <f t="shared" si="19"/>
        <v>27</v>
      </c>
      <c r="H180" s="411">
        <v>27</v>
      </c>
      <c r="I180" s="112"/>
      <c r="J180" s="38"/>
      <c r="K180" s="38"/>
      <c r="L180" s="38"/>
      <c r="M180" s="38"/>
      <c r="N180" s="38"/>
      <c r="O180" s="88">
        <v>27</v>
      </c>
    </row>
    <row r="181" spans="1:15">
      <c r="A181" s="1891"/>
      <c r="B181" s="1899"/>
      <c r="C181" s="110">
        <v>2017</v>
      </c>
      <c r="D181" s="37">
        <v>14</v>
      </c>
      <c r="E181" s="38"/>
      <c r="F181" s="38"/>
      <c r="G181" s="284">
        <f t="shared" si="19"/>
        <v>14</v>
      </c>
      <c r="H181" s="411">
        <v>14</v>
      </c>
      <c r="I181" s="112"/>
      <c r="J181" s="38"/>
      <c r="K181" s="38"/>
      <c r="L181" s="38"/>
      <c r="M181" s="38"/>
      <c r="N181" s="38"/>
      <c r="O181" s="88">
        <v>14</v>
      </c>
    </row>
    <row r="182" spans="1:15">
      <c r="A182" s="1891"/>
      <c r="B182" s="1899"/>
      <c r="C182" s="110">
        <v>2018</v>
      </c>
      <c r="D182" s="37"/>
      <c r="E182" s="38"/>
      <c r="F182" s="38"/>
      <c r="G182" s="284">
        <f t="shared" si="19"/>
        <v>0</v>
      </c>
      <c r="H182" s="411"/>
      <c r="I182" s="112"/>
      <c r="J182" s="38"/>
      <c r="K182" s="38"/>
      <c r="L182" s="38"/>
      <c r="M182" s="38"/>
      <c r="N182" s="38"/>
      <c r="O182" s="88"/>
    </row>
    <row r="183" spans="1:15">
      <c r="A183" s="1891"/>
      <c r="B183" s="1899"/>
      <c r="C183" s="110">
        <v>2019</v>
      </c>
      <c r="D183" s="37"/>
      <c r="E183" s="38"/>
      <c r="F183" s="38"/>
      <c r="G183" s="284">
        <f t="shared" si="19"/>
        <v>0</v>
      </c>
      <c r="H183" s="411"/>
      <c r="I183" s="112"/>
      <c r="J183" s="38"/>
      <c r="K183" s="38"/>
      <c r="L183" s="38"/>
      <c r="M183" s="38"/>
      <c r="N183" s="38"/>
      <c r="O183" s="88"/>
    </row>
    <row r="184" spans="1:15">
      <c r="A184" s="1891"/>
      <c r="B184" s="1899"/>
      <c r="C184" s="110">
        <v>2020</v>
      </c>
      <c r="D184" s="37"/>
      <c r="E184" s="38"/>
      <c r="F184" s="38"/>
      <c r="G184" s="284">
        <f t="shared" si="19"/>
        <v>0</v>
      </c>
      <c r="H184" s="411"/>
      <c r="I184" s="112"/>
      <c r="J184" s="38"/>
      <c r="K184" s="38"/>
      <c r="L184" s="38"/>
      <c r="M184" s="38"/>
      <c r="N184" s="38"/>
      <c r="O184" s="88"/>
    </row>
    <row r="185" spans="1:15" ht="45" customHeight="1" thickBot="1">
      <c r="A185" s="1893"/>
      <c r="B185" s="1900"/>
      <c r="C185" s="113" t="s">
        <v>13</v>
      </c>
      <c r="D185" s="139">
        <f>SUM(D178:D184)</f>
        <v>41</v>
      </c>
      <c r="E185" s="116">
        <f>SUM(E178:E184)</f>
        <v>0</v>
      </c>
      <c r="F185" s="116">
        <f>SUM(F178:F184)</f>
        <v>0</v>
      </c>
      <c r="G185" s="220">
        <f t="shared" ref="G185:O185" si="20">SUM(G178:G184)</f>
        <v>41</v>
      </c>
      <c r="H185" s="285">
        <f t="shared" si="20"/>
        <v>41</v>
      </c>
      <c r="I185" s="115">
        <f t="shared" si="20"/>
        <v>0</v>
      </c>
      <c r="J185" s="116">
        <f t="shared" si="20"/>
        <v>0</v>
      </c>
      <c r="K185" s="116">
        <f t="shared" si="20"/>
        <v>0</v>
      </c>
      <c r="L185" s="116">
        <f t="shared" si="20"/>
        <v>0</v>
      </c>
      <c r="M185" s="116">
        <f t="shared" si="20"/>
        <v>0</v>
      </c>
      <c r="N185" s="116">
        <f t="shared" si="20"/>
        <v>0</v>
      </c>
      <c r="O185" s="117">
        <f t="shared" si="20"/>
        <v>41</v>
      </c>
    </row>
    <row r="186" spans="1:15" ht="33" customHeight="1" thickBot="1"/>
    <row r="187" spans="1:15" ht="19.5" customHeight="1">
      <c r="A187" s="1861" t="s">
        <v>137</v>
      </c>
      <c r="B187" s="1863" t="s">
        <v>182</v>
      </c>
      <c r="C187" s="1865" t="s">
        <v>9</v>
      </c>
      <c r="D187" s="1867" t="s">
        <v>138</v>
      </c>
      <c r="E187" s="1868"/>
      <c r="F187" s="1868"/>
      <c r="G187" s="1869"/>
      <c r="H187" s="1870"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1976" t="s">
        <v>192</v>
      </c>
      <c r="B189" s="1977"/>
      <c r="C189" s="290">
        <v>2014</v>
      </c>
      <c r="D189" s="133"/>
      <c r="E189" s="109"/>
      <c r="F189" s="109"/>
      <c r="G189" s="291">
        <f>SUM(D189:F189)</f>
        <v>0</v>
      </c>
      <c r="H189" s="108"/>
      <c r="I189" s="109"/>
      <c r="J189" s="109"/>
      <c r="K189" s="109"/>
      <c r="L189" s="134"/>
    </row>
    <row r="190" spans="1:15">
      <c r="A190" s="1978"/>
      <c r="B190" s="1855"/>
      <c r="C190" s="73">
        <v>2015</v>
      </c>
      <c r="D190" s="37"/>
      <c r="E190" s="38"/>
      <c r="F190" s="38"/>
      <c r="G190" s="291">
        <f t="shared" ref="G190:G195" si="21">SUM(D190:F190)</f>
        <v>0</v>
      </c>
      <c r="H190" s="112"/>
      <c r="I190" s="38"/>
      <c r="J190" s="38"/>
      <c r="K190" s="38"/>
      <c r="L190" s="88"/>
    </row>
    <row r="191" spans="1:15">
      <c r="A191" s="1978"/>
      <c r="B191" s="1855"/>
      <c r="C191" s="73">
        <v>2016</v>
      </c>
      <c r="D191" s="37">
        <v>1000</v>
      </c>
      <c r="E191" s="38"/>
      <c r="F191" s="38"/>
      <c r="G191" s="291">
        <f t="shared" si="21"/>
        <v>1000</v>
      </c>
      <c r="H191" s="112"/>
      <c r="I191" s="38"/>
      <c r="J191" s="38"/>
      <c r="K191" s="38"/>
      <c r="L191" s="88">
        <v>1000</v>
      </c>
    </row>
    <row r="192" spans="1:15">
      <c r="A192" s="1978"/>
      <c r="B192" s="1855"/>
      <c r="C192" s="73">
        <v>2017</v>
      </c>
      <c r="D192" s="37">
        <v>143</v>
      </c>
      <c r="E192" s="38"/>
      <c r="F192" s="38"/>
      <c r="G192" s="291">
        <f t="shared" si="21"/>
        <v>143</v>
      </c>
      <c r="H192" s="112"/>
      <c r="I192" s="38"/>
      <c r="J192" s="38"/>
      <c r="K192" s="38"/>
      <c r="L192" s="88">
        <v>143</v>
      </c>
    </row>
    <row r="193" spans="1:14">
      <c r="A193" s="1978"/>
      <c r="B193" s="1855"/>
      <c r="C193" s="73">
        <v>2018</v>
      </c>
      <c r="D193" s="37"/>
      <c r="E193" s="38"/>
      <c r="F193" s="38"/>
      <c r="G193" s="291">
        <f t="shared" si="21"/>
        <v>0</v>
      </c>
      <c r="H193" s="112"/>
      <c r="I193" s="38"/>
      <c r="J193" s="38"/>
      <c r="K193" s="38"/>
      <c r="L193" s="88"/>
    </row>
    <row r="194" spans="1:14">
      <c r="A194" s="1978"/>
      <c r="B194" s="1855"/>
      <c r="C194" s="73">
        <v>2019</v>
      </c>
      <c r="D194" s="37"/>
      <c r="E194" s="38"/>
      <c r="F194" s="38"/>
      <c r="G194" s="291">
        <f t="shared" si="21"/>
        <v>0</v>
      </c>
      <c r="H194" s="112"/>
      <c r="I194" s="38"/>
      <c r="J194" s="38"/>
      <c r="K194" s="38"/>
      <c r="L194" s="88"/>
    </row>
    <row r="195" spans="1:14">
      <c r="A195" s="1978"/>
      <c r="B195" s="1855"/>
      <c r="C195" s="73">
        <v>2020</v>
      </c>
      <c r="D195" s="37"/>
      <c r="E195" s="38"/>
      <c r="F195" s="38"/>
      <c r="G195" s="291">
        <f t="shared" si="21"/>
        <v>0</v>
      </c>
      <c r="H195" s="112"/>
      <c r="I195" s="38"/>
      <c r="J195" s="38"/>
      <c r="K195" s="38"/>
      <c r="L195" s="88"/>
    </row>
    <row r="196" spans="1:14" ht="15.75" thickBot="1">
      <c r="A196" s="1979"/>
      <c r="B196" s="1857"/>
      <c r="C196" s="136" t="s">
        <v>13</v>
      </c>
      <c r="D196" s="139">
        <f t="shared" ref="D196:L196" si="22">SUM(D189:D195)</f>
        <v>1143</v>
      </c>
      <c r="E196" s="116">
        <f t="shared" si="22"/>
        <v>0</v>
      </c>
      <c r="F196" s="116">
        <f t="shared" si="22"/>
        <v>0</v>
      </c>
      <c r="G196" s="292">
        <f t="shared" si="22"/>
        <v>1143</v>
      </c>
      <c r="H196" s="115">
        <f t="shared" si="22"/>
        <v>0</v>
      </c>
      <c r="I196" s="116">
        <f t="shared" si="22"/>
        <v>0</v>
      </c>
      <c r="J196" s="116">
        <f t="shared" si="22"/>
        <v>0</v>
      </c>
      <c r="K196" s="116">
        <f t="shared" si="22"/>
        <v>0</v>
      </c>
      <c r="L196" s="117">
        <f t="shared" si="22"/>
        <v>1143</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296" t="s">
        <v>150</v>
      </c>
      <c r="B201" s="417" t="s">
        <v>182</v>
      </c>
      <c r="C201" s="298" t="s">
        <v>9</v>
      </c>
      <c r="D201" s="299" t="s">
        <v>151</v>
      </c>
      <c r="E201" s="300" t="s">
        <v>152</v>
      </c>
      <c r="F201" s="300" t="s">
        <v>153</v>
      </c>
      <c r="G201" s="298" t="s">
        <v>154</v>
      </c>
      <c r="H201" s="301" t="s">
        <v>155</v>
      </c>
      <c r="I201" s="302" t="s">
        <v>156</v>
      </c>
      <c r="J201" s="303" t="s">
        <v>157</v>
      </c>
      <c r="K201" s="300" t="s">
        <v>158</v>
      </c>
      <c r="L201" s="304" t="s">
        <v>159</v>
      </c>
    </row>
    <row r="202" spans="1:14" ht="15" customHeight="1">
      <c r="A202" s="1854"/>
      <c r="B202" s="1855"/>
      <c r="C202" s="72">
        <v>2014</v>
      </c>
      <c r="D202" s="30"/>
      <c r="E202" s="31"/>
      <c r="F202" s="31"/>
      <c r="G202" s="29"/>
      <c r="H202" s="305"/>
      <c r="I202" s="306"/>
      <c r="J202" s="307"/>
      <c r="K202" s="31"/>
      <c r="L202" s="34"/>
    </row>
    <row r="203" spans="1:14">
      <c r="A203" s="1854"/>
      <c r="B203" s="1855"/>
      <c r="C203" s="73">
        <v>2015</v>
      </c>
      <c r="D203" s="37"/>
      <c r="E203" s="38"/>
      <c r="F203" s="38"/>
      <c r="G203" s="36"/>
      <c r="H203" s="308"/>
      <c r="I203" s="309"/>
      <c r="J203" s="310"/>
      <c r="K203" s="38"/>
      <c r="L203" s="88"/>
    </row>
    <row r="204" spans="1:14">
      <c r="A204" s="1854"/>
      <c r="B204" s="1855"/>
      <c r="C204" s="73">
        <v>2016</v>
      </c>
      <c r="D204" s="37"/>
      <c r="E204" s="38"/>
      <c r="F204" s="38"/>
      <c r="G204" s="36"/>
      <c r="H204" s="308"/>
      <c r="I204" s="309"/>
      <c r="J204" s="310"/>
      <c r="K204" s="38"/>
      <c r="L204" s="88"/>
    </row>
    <row r="205" spans="1:14">
      <c r="A205" s="1854"/>
      <c r="B205" s="1855"/>
      <c r="C205" s="73">
        <v>2017</v>
      </c>
      <c r="D205" s="37"/>
      <c r="E205" s="38"/>
      <c r="F205" s="38"/>
      <c r="G205" s="36"/>
      <c r="H205" s="308"/>
      <c r="I205" s="309"/>
      <c r="J205" s="310"/>
      <c r="K205" s="38"/>
      <c r="L205" s="88"/>
    </row>
    <row r="206" spans="1:14">
      <c r="A206" s="1854"/>
      <c r="B206" s="1855"/>
      <c r="C206" s="73">
        <v>2018</v>
      </c>
      <c r="D206" s="37"/>
      <c r="E206" s="38"/>
      <c r="F206" s="38"/>
      <c r="G206" s="36"/>
      <c r="H206" s="308"/>
      <c r="I206" s="309"/>
      <c r="J206" s="310"/>
      <c r="K206" s="38"/>
      <c r="L206" s="88"/>
    </row>
    <row r="207" spans="1:14">
      <c r="A207" s="1854"/>
      <c r="B207" s="1855"/>
      <c r="C207" s="73">
        <v>2019</v>
      </c>
      <c r="D207" s="37"/>
      <c r="E207" s="38"/>
      <c r="F207" s="38"/>
      <c r="G207" s="36"/>
      <c r="H207" s="308"/>
      <c r="I207" s="309"/>
      <c r="J207" s="310"/>
      <c r="K207" s="38"/>
      <c r="L207" s="88"/>
    </row>
    <row r="208" spans="1:14">
      <c r="A208" s="1854"/>
      <c r="B208" s="1855"/>
      <c r="C208" s="73">
        <v>2020</v>
      </c>
      <c r="D208" s="311"/>
      <c r="E208" s="312"/>
      <c r="F208" s="312"/>
      <c r="G208" s="313"/>
      <c r="H208" s="314"/>
      <c r="I208" s="315"/>
      <c r="J208" s="316"/>
      <c r="K208" s="312"/>
      <c r="L208" s="317"/>
    </row>
    <row r="209" spans="1:12" ht="20.25" customHeight="1" thickBot="1">
      <c r="A209" s="1856"/>
      <c r="B209" s="1857"/>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0</v>
      </c>
      <c r="K209" s="139">
        <f t="shared" si="23"/>
        <v>0</v>
      </c>
      <c r="L209" s="139">
        <f t="shared" si="23"/>
        <v>0</v>
      </c>
    </row>
    <row r="211" spans="1:12" ht="15.75" thickBot="1"/>
    <row r="212" spans="1:12" ht="29.25">
      <c r="A212" s="321" t="s">
        <v>161</v>
      </c>
      <c r="B212" s="322" t="s">
        <v>162</v>
      </c>
      <c r="C212" s="323">
        <v>2014</v>
      </c>
      <c r="D212" s="324">
        <v>2015</v>
      </c>
      <c r="E212" s="324">
        <v>2016</v>
      </c>
      <c r="F212" s="324">
        <v>2017</v>
      </c>
      <c r="G212" s="324">
        <v>2018</v>
      </c>
      <c r="H212" s="324">
        <v>2019</v>
      </c>
      <c r="I212" s="325">
        <v>2020</v>
      </c>
    </row>
    <row r="213" spans="1:12" ht="15" customHeight="1">
      <c r="A213" t="s">
        <v>163</v>
      </c>
      <c r="B213" s="1973"/>
      <c r="C213" s="72"/>
      <c r="D213" s="135"/>
      <c r="E213" s="135"/>
      <c r="F213" s="135"/>
      <c r="G213" s="135"/>
      <c r="H213" s="135"/>
      <c r="I213" s="326"/>
    </row>
    <row r="214" spans="1:12">
      <c r="A214" t="s">
        <v>164</v>
      </c>
      <c r="B214" s="1974"/>
      <c r="C214" s="72"/>
      <c r="D214" s="135"/>
      <c r="E214" s="135"/>
      <c r="F214" s="135"/>
      <c r="G214" s="135"/>
      <c r="H214" s="135"/>
      <c r="I214" s="326"/>
    </row>
    <row r="215" spans="1:12">
      <c r="A215" t="s">
        <v>165</v>
      </c>
      <c r="B215" s="1974"/>
      <c r="C215" s="72"/>
      <c r="D215" s="135"/>
      <c r="E215" s="135"/>
      <c r="F215" s="135"/>
      <c r="G215" s="135"/>
      <c r="H215" s="135"/>
      <c r="I215" s="326"/>
    </row>
    <row r="216" spans="1:12">
      <c r="A216" t="s">
        <v>166</v>
      </c>
      <c r="B216" s="1974"/>
      <c r="C216" s="72"/>
      <c r="D216" s="135">
        <v>47797.8</v>
      </c>
      <c r="E216" s="135">
        <v>40650.400000000001</v>
      </c>
      <c r="F216" s="328">
        <v>34792.28</v>
      </c>
      <c r="G216" s="135"/>
      <c r="H216" s="135"/>
      <c r="I216" s="326"/>
    </row>
    <row r="217" spans="1:12">
      <c r="A217" t="s">
        <v>167</v>
      </c>
      <c r="B217" s="1974"/>
      <c r="C217" s="72"/>
      <c r="D217" s="135"/>
      <c r="E217" s="135"/>
      <c r="F217" s="328">
        <v>36000</v>
      </c>
      <c r="G217" s="135"/>
      <c r="H217" s="135"/>
      <c r="I217" s="326"/>
    </row>
    <row r="218" spans="1:12" ht="30">
      <c r="A218" s="56" t="s">
        <v>168</v>
      </c>
      <c r="B218" s="1974"/>
      <c r="C218" s="72"/>
      <c r="D218" s="135"/>
      <c r="E218" s="135"/>
      <c r="F218" s="135"/>
      <c r="G218" s="135"/>
      <c r="H218" s="135"/>
      <c r="I218" s="326"/>
    </row>
    <row r="219" spans="1:12" ht="15.75" thickBot="1">
      <c r="A219" s="331"/>
      <c r="B219" s="1975"/>
      <c r="C219" s="42" t="s">
        <v>13</v>
      </c>
      <c r="D219" s="333">
        <f>SUM(D214:D218)</f>
        <v>47797.8</v>
      </c>
      <c r="E219" s="333">
        <f t="shared" ref="E219:I219" si="24">SUM(E214:E218)</f>
        <v>40650.400000000001</v>
      </c>
      <c r="F219" s="332">
        <f t="shared" si="24"/>
        <v>70792.28</v>
      </c>
      <c r="G219" s="333"/>
      <c r="H219" s="333">
        <f t="shared" si="24"/>
        <v>0</v>
      </c>
      <c r="I219" s="333">
        <f t="shared" si="24"/>
        <v>0</v>
      </c>
    </row>
    <row r="227" spans="1:1">
      <c r="A227" s="56"/>
    </row>
  </sheetData>
  <mergeCells count="57">
    <mergeCell ref="D60:D61"/>
    <mergeCell ref="B1:F1"/>
    <mergeCell ref="F3:O3"/>
    <mergeCell ref="A4:O10"/>
    <mergeCell ref="D15:G15"/>
    <mergeCell ref="A17:B24"/>
    <mergeCell ref="D26:G26"/>
    <mergeCell ref="A28:B35"/>
    <mergeCell ref="A40:B47"/>
    <mergeCell ref="A50:B58"/>
    <mergeCell ref="A60:A61"/>
    <mergeCell ref="C60:C61"/>
    <mergeCell ref="A62:B69"/>
    <mergeCell ref="A72:A79"/>
    <mergeCell ref="B72:B79"/>
    <mergeCell ref="A85:B92"/>
    <mergeCell ref="A96:A97"/>
    <mergeCell ref="B96:B97"/>
    <mergeCell ref="A120:B127"/>
    <mergeCell ref="C96:C97"/>
    <mergeCell ref="D96:E96"/>
    <mergeCell ref="A98:B105"/>
    <mergeCell ref="A107:A108"/>
    <mergeCell ref="B107:B108"/>
    <mergeCell ref="C107:C108"/>
    <mergeCell ref="D107:D108"/>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1"/>
  <sheetViews>
    <sheetView topLeftCell="B7" zoomScale="80" zoomScaleNormal="80" workbookViewId="0">
      <selection activeCell="G224" sqref="G224"/>
    </sheetView>
  </sheetViews>
  <sheetFormatPr defaultRowHeight="15"/>
  <cols>
    <col min="1" max="1" width="113.28515625" customWidth="1"/>
    <col min="2" max="2" width="25.140625" customWidth="1"/>
    <col min="3" max="3" width="12.5703125" customWidth="1"/>
    <col min="4" max="4" width="21.85546875" customWidth="1"/>
    <col min="5" max="5" width="21" customWidth="1"/>
    <col min="6" max="6" width="20.42578125" customWidth="1"/>
    <col min="7" max="7" width="21.28515625" customWidth="1"/>
    <col min="8" max="8" width="25.140625" customWidth="1"/>
    <col min="9" max="9" width="23.85546875" customWidth="1"/>
    <col min="10" max="10" width="22.7109375" customWidth="1"/>
    <col min="11" max="11" width="27" customWidth="1"/>
    <col min="12" max="12" width="23.28515625" customWidth="1"/>
    <col min="13" max="13" width="21.85546875" customWidth="1"/>
    <col min="14" max="14" width="23.28515625" customWidth="1"/>
    <col min="15" max="15" width="21" customWidth="1"/>
    <col min="21" max="21" width="10.28515625" bestFit="1" customWidth="1"/>
  </cols>
  <sheetData>
    <row r="1" spans="1:18" ht="31.5">
      <c r="A1" s="1" t="s">
        <v>0</v>
      </c>
      <c r="B1" s="1" t="s">
        <v>1</v>
      </c>
      <c r="C1" s="1"/>
      <c r="D1" s="1"/>
      <c r="E1" s="1"/>
      <c r="F1" s="1"/>
      <c r="G1" s="1"/>
      <c r="H1" s="1"/>
      <c r="I1" s="1"/>
      <c r="J1" s="1"/>
      <c r="K1" s="1"/>
      <c r="L1" s="1"/>
      <c r="M1" s="1"/>
      <c r="N1" s="1"/>
      <c r="O1" s="1"/>
      <c r="P1" s="1"/>
      <c r="Q1" s="1"/>
      <c r="R1" s="1"/>
    </row>
    <row r="2" spans="1:18" ht="32.25" thickBot="1">
      <c r="A2" s="1"/>
      <c r="B2" s="1"/>
      <c r="C2" s="1"/>
      <c r="D2" s="1"/>
      <c r="E2" s="1"/>
      <c r="F2" s="1"/>
      <c r="G2" s="1"/>
      <c r="H2" s="1"/>
      <c r="I2" s="1"/>
      <c r="J2" s="1"/>
      <c r="K2" s="1"/>
      <c r="L2" s="1"/>
      <c r="M2" s="1"/>
      <c r="N2" s="1"/>
      <c r="O2" s="1"/>
      <c r="P2" s="1"/>
      <c r="Q2" s="1"/>
      <c r="R2" s="1"/>
    </row>
    <row r="3" spans="1:18" ht="31.5">
      <c r="A3" s="2" t="s">
        <v>2</v>
      </c>
      <c r="B3" s="3"/>
      <c r="C3" s="3"/>
      <c r="D3" s="3"/>
      <c r="E3" s="3"/>
      <c r="F3" s="1945"/>
      <c r="G3" s="1945"/>
      <c r="H3" s="1945"/>
      <c r="I3" s="1945"/>
      <c r="J3" s="1945"/>
      <c r="K3" s="1945"/>
      <c r="L3" s="1945"/>
      <c r="M3" s="1945"/>
      <c r="N3" s="1945"/>
      <c r="O3" s="1946"/>
      <c r="P3" s="4"/>
      <c r="Q3" s="4"/>
      <c r="R3" s="4"/>
    </row>
    <row r="4" spans="1:18" ht="31.5">
      <c r="A4" s="1947" t="s">
        <v>3</v>
      </c>
      <c r="B4" s="1948"/>
      <c r="C4" s="1948"/>
      <c r="D4" s="1948"/>
      <c r="E4" s="1948"/>
      <c r="F4" s="1948"/>
      <c r="G4" s="1948"/>
      <c r="H4" s="1948"/>
      <c r="I4" s="1948"/>
      <c r="J4" s="1948"/>
      <c r="K4" s="1948"/>
      <c r="L4" s="1948"/>
      <c r="M4" s="1948"/>
      <c r="N4" s="1948"/>
      <c r="O4" s="1949"/>
      <c r="P4" s="4"/>
      <c r="Q4" s="4"/>
      <c r="R4" s="4"/>
    </row>
    <row r="5" spans="1:18" ht="31.5">
      <c r="A5" s="1947"/>
      <c r="B5" s="1948"/>
      <c r="C5" s="1948"/>
      <c r="D5" s="1948"/>
      <c r="E5" s="1948"/>
      <c r="F5" s="1948"/>
      <c r="G5" s="1948"/>
      <c r="H5" s="1948"/>
      <c r="I5" s="1948"/>
      <c r="J5" s="1948"/>
      <c r="K5" s="1948"/>
      <c r="L5" s="1948"/>
      <c r="M5" s="1948"/>
      <c r="N5" s="1948"/>
      <c r="O5" s="1949"/>
      <c r="P5" s="4"/>
      <c r="Q5" s="4"/>
      <c r="R5" s="4"/>
    </row>
    <row r="6" spans="1:18" ht="31.5">
      <c r="A6" s="1947"/>
      <c r="B6" s="1948"/>
      <c r="C6" s="1948"/>
      <c r="D6" s="1948"/>
      <c r="E6" s="1948"/>
      <c r="F6" s="1948"/>
      <c r="G6" s="1948"/>
      <c r="H6" s="1948"/>
      <c r="I6" s="1948"/>
      <c r="J6" s="1948"/>
      <c r="K6" s="1948"/>
      <c r="L6" s="1948"/>
      <c r="M6" s="1948"/>
      <c r="N6" s="1948"/>
      <c r="O6" s="1949"/>
      <c r="P6" s="4"/>
      <c r="Q6" s="4"/>
      <c r="R6" s="4"/>
    </row>
    <row r="7" spans="1:18" ht="31.5">
      <c r="A7" s="1947"/>
      <c r="B7" s="1948"/>
      <c r="C7" s="1948"/>
      <c r="D7" s="1948"/>
      <c r="E7" s="1948"/>
      <c r="F7" s="1948"/>
      <c r="G7" s="1948"/>
      <c r="H7" s="1948"/>
      <c r="I7" s="1948"/>
      <c r="J7" s="1948"/>
      <c r="K7" s="1948"/>
      <c r="L7" s="1948"/>
      <c r="M7" s="1948"/>
      <c r="N7" s="1948"/>
      <c r="O7" s="1949"/>
      <c r="P7" s="4"/>
      <c r="Q7" s="4"/>
      <c r="R7" s="4"/>
    </row>
    <row r="8" spans="1:18" ht="31.5">
      <c r="A8" s="1947"/>
      <c r="B8" s="1948"/>
      <c r="C8" s="1948"/>
      <c r="D8" s="1948"/>
      <c r="E8" s="1948"/>
      <c r="F8" s="1948"/>
      <c r="G8" s="1948"/>
      <c r="H8" s="1948"/>
      <c r="I8" s="1948"/>
      <c r="J8" s="1948"/>
      <c r="K8" s="1948"/>
      <c r="L8" s="1948"/>
      <c r="M8" s="1948"/>
      <c r="N8" s="1948"/>
      <c r="O8" s="1949"/>
      <c r="P8" s="4"/>
      <c r="Q8" s="4"/>
      <c r="R8" s="4"/>
    </row>
    <row r="9" spans="1:18" ht="31.5">
      <c r="A9" s="1947"/>
      <c r="B9" s="1948"/>
      <c r="C9" s="1948"/>
      <c r="D9" s="1948"/>
      <c r="E9" s="1948"/>
      <c r="F9" s="1948"/>
      <c r="G9" s="1948"/>
      <c r="H9" s="1948"/>
      <c r="I9" s="1948"/>
      <c r="J9" s="1948"/>
      <c r="K9" s="1948"/>
      <c r="L9" s="1948"/>
      <c r="M9" s="1948"/>
      <c r="N9" s="1948"/>
      <c r="O9" s="1949"/>
      <c r="P9" s="4"/>
      <c r="Q9" s="4"/>
      <c r="R9" s="4"/>
    </row>
    <row r="10" spans="1:18" ht="32.25" thickBot="1">
      <c r="A10" s="1950"/>
      <c r="B10" s="1951"/>
      <c r="C10" s="1951"/>
      <c r="D10" s="1951"/>
      <c r="E10" s="1951"/>
      <c r="F10" s="1951"/>
      <c r="G10" s="1951"/>
      <c r="H10" s="1951"/>
      <c r="I10" s="1951"/>
      <c r="J10" s="1951"/>
      <c r="K10" s="1951"/>
      <c r="L10" s="1951"/>
      <c r="M10" s="1951"/>
      <c r="N10" s="1951"/>
      <c r="O10" s="1952"/>
      <c r="P10" s="4"/>
      <c r="Q10" s="4"/>
      <c r="R10" s="4"/>
    </row>
    <row r="11" spans="1:18" ht="31.5">
      <c r="A11" s="1"/>
      <c r="B11" s="1"/>
      <c r="C11" s="1"/>
      <c r="D11" s="1"/>
      <c r="E11" s="1"/>
      <c r="F11" s="1"/>
      <c r="G11" s="1"/>
      <c r="H11" s="1"/>
      <c r="I11" s="1"/>
      <c r="J11" s="1"/>
      <c r="K11" s="1"/>
      <c r="L11" s="1"/>
      <c r="M11" s="1"/>
      <c r="N11" s="1"/>
      <c r="O11" s="1"/>
      <c r="P11" s="1"/>
      <c r="Q11" s="1"/>
      <c r="R11" s="1"/>
    </row>
    <row r="13" spans="1:18" ht="21">
      <c r="A13" s="5" t="s">
        <v>4</v>
      </c>
      <c r="B13" s="5"/>
      <c r="C13" s="6"/>
      <c r="D13" s="6"/>
      <c r="E13" s="6"/>
      <c r="F13" s="6"/>
      <c r="G13" s="6"/>
      <c r="H13" s="6"/>
      <c r="I13" s="6"/>
      <c r="J13" s="6"/>
      <c r="K13" s="6"/>
      <c r="L13" s="6"/>
      <c r="M13" s="6"/>
      <c r="N13" s="6"/>
      <c r="O13" s="6"/>
    </row>
    <row r="14" spans="1:18" ht="15.75" thickBot="1">
      <c r="P14" s="7"/>
      <c r="Q14" s="7"/>
      <c r="R14" s="7"/>
    </row>
    <row r="15" spans="1:18" ht="18.75">
      <c r="A15" s="8"/>
      <c r="B15" s="9"/>
      <c r="C15" s="10"/>
      <c r="D15" s="1953" t="s">
        <v>5</v>
      </c>
      <c r="E15" s="1954"/>
      <c r="F15" s="1954"/>
      <c r="G15" s="1954"/>
      <c r="H15" s="11"/>
      <c r="I15" s="12" t="s">
        <v>6</v>
      </c>
      <c r="J15" s="13"/>
      <c r="K15" s="13"/>
      <c r="L15" s="13"/>
      <c r="M15" s="13"/>
      <c r="N15" s="13"/>
      <c r="O15" s="14"/>
      <c r="P15" s="15"/>
      <c r="Q15" s="16"/>
      <c r="R15" s="17"/>
    </row>
    <row r="16" spans="1:18" ht="102" customHeight="1">
      <c r="A16" s="18" t="s">
        <v>7</v>
      </c>
      <c r="B16" s="19" t="s">
        <v>8</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row>
    <row r="17" spans="1:18">
      <c r="A17" s="2453" t="s">
        <v>22</v>
      </c>
      <c r="B17" s="1998"/>
      <c r="C17" s="29">
        <v>2014</v>
      </c>
      <c r="D17" s="30"/>
      <c r="E17" s="31"/>
      <c r="F17" s="31"/>
      <c r="G17" s="32">
        <f t="shared" ref="G17:G23" si="0">SUM(D17:F17)</f>
        <v>0</v>
      </c>
      <c r="H17" s="33"/>
      <c r="I17" s="31"/>
      <c r="J17" s="31"/>
      <c r="K17" s="31"/>
      <c r="L17" s="31"/>
      <c r="M17" s="31"/>
      <c r="N17" s="31"/>
      <c r="O17" s="34"/>
      <c r="P17" s="35"/>
      <c r="Q17" s="35"/>
      <c r="R17" s="35"/>
    </row>
    <row r="18" spans="1:18">
      <c r="A18" s="2454"/>
      <c r="B18" s="1998"/>
      <c r="C18" s="36">
        <v>2015</v>
      </c>
      <c r="D18" s="37"/>
      <c r="E18" s="38"/>
      <c r="F18" s="38"/>
      <c r="G18" s="32">
        <f t="shared" si="0"/>
        <v>0</v>
      </c>
      <c r="H18" s="39"/>
      <c r="I18" s="38"/>
      <c r="J18" s="38"/>
      <c r="K18" s="38"/>
      <c r="L18" s="38"/>
      <c r="M18" s="38"/>
      <c r="N18" s="38"/>
      <c r="O18" s="40"/>
      <c r="P18" s="35"/>
      <c r="Q18" s="35"/>
      <c r="R18" s="35"/>
    </row>
    <row r="19" spans="1:18">
      <c r="A19" s="2454"/>
      <c r="B19" s="1998"/>
      <c r="C19" s="36">
        <v>2016</v>
      </c>
      <c r="D19" s="37">
        <v>604</v>
      </c>
      <c r="E19" s="38"/>
      <c r="F19" s="38"/>
      <c r="G19" s="32">
        <f t="shared" si="0"/>
        <v>604</v>
      </c>
      <c r="H19" s="39"/>
      <c r="I19" s="38"/>
      <c r="J19" s="38"/>
      <c r="K19" s="38"/>
      <c r="L19" s="38"/>
      <c r="M19" s="38"/>
      <c r="N19" s="38"/>
      <c r="O19" s="40">
        <v>604</v>
      </c>
      <c r="P19" s="35"/>
      <c r="Q19" s="35"/>
      <c r="R19" s="35"/>
    </row>
    <row r="20" spans="1:18">
      <c r="A20" s="2454"/>
      <c r="B20" s="1998"/>
      <c r="C20" s="36">
        <v>2017</v>
      </c>
      <c r="D20" s="37">
        <v>228</v>
      </c>
      <c r="E20" s="38"/>
      <c r="F20" s="38"/>
      <c r="G20" s="32">
        <f t="shared" si="0"/>
        <v>228</v>
      </c>
      <c r="H20" s="39"/>
      <c r="I20" s="38"/>
      <c r="J20" s="38"/>
      <c r="K20" s="38"/>
      <c r="L20" s="38"/>
      <c r="M20" s="38"/>
      <c r="N20" s="38"/>
      <c r="O20" s="40">
        <v>228</v>
      </c>
      <c r="P20" s="35"/>
      <c r="Q20" s="35"/>
      <c r="R20" s="35"/>
    </row>
    <row r="21" spans="1:18">
      <c r="A21" s="2454"/>
      <c r="B21" s="1998"/>
      <c r="C21" s="36">
        <v>2018</v>
      </c>
      <c r="D21" s="37"/>
      <c r="E21" s="38"/>
      <c r="F21" s="38"/>
      <c r="G21" s="32">
        <f t="shared" si="0"/>
        <v>0</v>
      </c>
      <c r="H21" s="39"/>
      <c r="I21" s="38"/>
      <c r="J21" s="38"/>
      <c r="K21" s="38"/>
      <c r="L21" s="38"/>
      <c r="M21" s="38"/>
      <c r="N21" s="38"/>
      <c r="O21" s="40"/>
      <c r="P21" s="35"/>
      <c r="Q21" s="35"/>
      <c r="R21" s="35"/>
    </row>
    <row r="22" spans="1:18">
      <c r="A22" s="2454"/>
      <c r="B22" s="1998"/>
      <c r="C22" s="41">
        <v>2019</v>
      </c>
      <c r="D22" s="37"/>
      <c r="E22" s="38"/>
      <c r="F22" s="38"/>
      <c r="G22" s="32">
        <f t="shared" si="0"/>
        <v>0</v>
      </c>
      <c r="H22" s="39"/>
      <c r="I22" s="38"/>
      <c r="J22" s="38"/>
      <c r="K22" s="38"/>
      <c r="L22" s="38"/>
      <c r="M22" s="38"/>
      <c r="N22" s="38"/>
      <c r="O22" s="40"/>
      <c r="P22" s="35"/>
      <c r="Q22" s="35"/>
      <c r="R22" s="35"/>
    </row>
    <row r="23" spans="1:18">
      <c r="A23" s="2454"/>
      <c r="B23" s="1998"/>
      <c r="C23" s="36">
        <v>2020</v>
      </c>
      <c r="D23" s="37"/>
      <c r="E23" s="38"/>
      <c r="F23" s="38"/>
      <c r="G23" s="32">
        <f t="shared" si="0"/>
        <v>0</v>
      </c>
      <c r="H23" s="39"/>
      <c r="I23" s="38"/>
      <c r="J23" s="38"/>
      <c r="K23" s="38"/>
      <c r="L23" s="38"/>
      <c r="M23" s="38"/>
      <c r="N23" s="38"/>
      <c r="O23" s="40"/>
      <c r="P23" s="35"/>
      <c r="Q23" s="35"/>
      <c r="R23" s="35"/>
    </row>
    <row r="24" spans="1:18" ht="98.25" customHeight="1" thickBot="1">
      <c r="A24" s="2455"/>
      <c r="B24" s="1999"/>
      <c r="C24" s="42" t="s">
        <v>13</v>
      </c>
      <c r="D24" s="43">
        <f>SUM(D17:D23)</f>
        <v>832</v>
      </c>
      <c r="E24" s="44">
        <f>SUM(E17:E23)</f>
        <v>0</v>
      </c>
      <c r="F24" s="44">
        <f>SUM(F17:F23)</f>
        <v>0</v>
      </c>
      <c r="G24" s="45">
        <f>SUM(D24:F24)</f>
        <v>832</v>
      </c>
      <c r="H24" s="46">
        <f>SUM(H17:H23)</f>
        <v>0</v>
      </c>
      <c r="I24" s="47">
        <f t="shared" ref="I24:N24" si="1">SUM(I17:I23)</f>
        <v>0</v>
      </c>
      <c r="J24" s="47">
        <f t="shared" si="1"/>
        <v>0</v>
      </c>
      <c r="K24" s="47">
        <f t="shared" si="1"/>
        <v>0</v>
      </c>
      <c r="L24" s="47">
        <f t="shared" si="1"/>
        <v>0</v>
      </c>
      <c r="M24" s="47">
        <f t="shared" si="1"/>
        <v>0</v>
      </c>
      <c r="N24" s="47">
        <f t="shared" si="1"/>
        <v>0</v>
      </c>
      <c r="O24" s="48">
        <f>SUM(O17:O23)</f>
        <v>832</v>
      </c>
      <c r="P24" s="35"/>
      <c r="Q24" s="35"/>
      <c r="R24" s="35"/>
    </row>
    <row r="25" spans="1:18" ht="15.75" thickBot="1">
      <c r="C25" s="49"/>
      <c r="H25" s="7"/>
      <c r="I25" s="7"/>
      <c r="J25" s="7"/>
      <c r="K25" s="7"/>
      <c r="L25" s="7"/>
      <c r="M25" s="7"/>
      <c r="N25" s="7"/>
      <c r="O25" s="7"/>
      <c r="P25" s="7"/>
      <c r="Q25" s="7"/>
    </row>
    <row r="26" spans="1:18" ht="18.75">
      <c r="A26" s="8"/>
      <c r="B26" s="9"/>
      <c r="C26" s="50"/>
      <c r="D26" s="1959" t="s">
        <v>5</v>
      </c>
      <c r="E26" s="1960"/>
      <c r="F26" s="1960"/>
      <c r="G26" s="1961"/>
      <c r="H26" s="15"/>
      <c r="I26" s="16"/>
      <c r="J26" s="17"/>
      <c r="K26" s="17"/>
      <c r="L26" s="17"/>
      <c r="M26" s="17"/>
      <c r="N26" s="17"/>
      <c r="O26" s="15"/>
      <c r="P26" s="15"/>
      <c r="Q26" s="51"/>
      <c r="R26" s="51"/>
    </row>
    <row r="27" spans="1:18" ht="99" customHeight="1">
      <c r="A27" s="52" t="s">
        <v>23</v>
      </c>
      <c r="B27" s="19" t="s">
        <v>8</v>
      </c>
      <c r="C27" s="53" t="s">
        <v>9</v>
      </c>
      <c r="D27" s="54" t="s">
        <v>10</v>
      </c>
      <c r="E27" s="22" t="s">
        <v>11</v>
      </c>
      <c r="F27" s="22" t="s">
        <v>12</v>
      </c>
      <c r="G27" s="55" t="s">
        <v>13</v>
      </c>
      <c r="H27" s="28"/>
      <c r="I27" s="28"/>
      <c r="J27" s="28"/>
      <c r="K27" s="28"/>
      <c r="L27" s="28"/>
      <c r="M27" s="28"/>
      <c r="N27" s="28"/>
      <c r="O27" s="28"/>
      <c r="P27" s="28"/>
      <c r="Q27" s="51"/>
      <c r="R27" s="56"/>
    </row>
    <row r="28" spans="1:18">
      <c r="A28" s="2456" t="s">
        <v>24</v>
      </c>
      <c r="B28" s="1998"/>
      <c r="C28" s="57">
        <v>2014</v>
      </c>
      <c r="D28" s="33"/>
      <c r="E28" s="31"/>
      <c r="F28" s="31"/>
      <c r="G28" s="58">
        <f>SUM(D28:F28)</f>
        <v>0</v>
      </c>
      <c r="H28" s="35"/>
      <c r="I28" s="35"/>
      <c r="J28" s="35"/>
      <c r="K28" s="35"/>
      <c r="L28" s="35"/>
      <c r="M28" s="35"/>
      <c r="N28" s="35"/>
      <c r="O28" s="35"/>
      <c r="P28" s="35"/>
      <c r="Q28" s="7"/>
    </row>
    <row r="29" spans="1:18">
      <c r="A29" s="2435"/>
      <c r="B29" s="1998"/>
      <c r="C29" s="59">
        <v>2015</v>
      </c>
      <c r="D29" s="39"/>
      <c r="E29" s="38"/>
      <c r="F29" s="38"/>
      <c r="G29" s="58">
        <f t="shared" ref="G29:G35" si="2">SUM(D29:F29)</f>
        <v>0</v>
      </c>
      <c r="H29" s="35"/>
      <c r="I29" s="35"/>
      <c r="J29" s="35"/>
      <c r="K29" s="35"/>
      <c r="L29" s="35"/>
      <c r="M29" s="35"/>
      <c r="N29" s="35"/>
      <c r="O29" s="35"/>
      <c r="P29" s="35"/>
      <c r="Q29" s="7"/>
    </row>
    <row r="30" spans="1:18">
      <c r="A30" s="2435"/>
      <c r="B30" s="1998"/>
      <c r="C30" s="59">
        <v>2016</v>
      </c>
      <c r="D30" s="39">
        <v>17902</v>
      </c>
      <c r="E30" s="38"/>
      <c r="F30" s="38"/>
      <c r="G30" s="58">
        <f t="shared" si="2"/>
        <v>17902</v>
      </c>
      <c r="H30" s="35"/>
      <c r="I30" s="35"/>
      <c r="J30" s="35"/>
      <c r="K30" s="35"/>
      <c r="L30" s="35"/>
      <c r="M30" s="35"/>
      <c r="N30" s="35"/>
      <c r="O30" s="35"/>
      <c r="P30" s="35"/>
      <c r="Q30" s="7"/>
    </row>
    <row r="31" spans="1:18">
      <c r="A31" s="2435"/>
      <c r="B31" s="1998"/>
      <c r="C31" s="59">
        <v>2017</v>
      </c>
      <c r="D31" s="39">
        <v>8204</v>
      </c>
      <c r="E31" s="38"/>
      <c r="F31" s="38"/>
      <c r="G31" s="58">
        <f t="shared" si="2"/>
        <v>8204</v>
      </c>
      <c r="H31" s="35"/>
      <c r="I31" s="35"/>
      <c r="J31" s="35"/>
      <c r="K31" s="35"/>
      <c r="L31" s="35"/>
      <c r="M31" s="35"/>
      <c r="N31" s="35"/>
      <c r="O31" s="35"/>
      <c r="P31" s="35"/>
      <c r="Q31" s="7"/>
    </row>
    <row r="32" spans="1:18">
      <c r="A32" s="2435"/>
      <c r="B32" s="1998"/>
      <c r="C32" s="59">
        <v>2018</v>
      </c>
      <c r="D32" s="39"/>
      <c r="E32" s="38"/>
      <c r="F32" s="38"/>
      <c r="G32" s="58">
        <f t="shared" si="2"/>
        <v>0</v>
      </c>
      <c r="H32" s="35"/>
      <c r="I32" s="35"/>
      <c r="J32" s="35"/>
      <c r="K32" s="35"/>
      <c r="L32" s="35"/>
      <c r="M32" s="35"/>
      <c r="N32" s="35"/>
      <c r="O32" s="35"/>
      <c r="P32" s="35"/>
      <c r="Q32" s="7"/>
    </row>
    <row r="33" spans="1:18">
      <c r="A33" s="2435"/>
      <c r="B33" s="1998"/>
      <c r="C33" s="60">
        <v>2019</v>
      </c>
      <c r="D33" s="39"/>
      <c r="E33" s="38"/>
      <c r="F33" s="38"/>
      <c r="G33" s="58">
        <f t="shared" si="2"/>
        <v>0</v>
      </c>
      <c r="H33" s="35"/>
      <c r="I33" s="35"/>
      <c r="J33" s="35"/>
      <c r="K33" s="35"/>
      <c r="L33" s="35"/>
      <c r="M33" s="35"/>
      <c r="N33" s="35"/>
      <c r="O33" s="35"/>
      <c r="P33" s="35"/>
      <c r="Q33" s="7"/>
    </row>
    <row r="34" spans="1:18">
      <c r="A34" s="2435"/>
      <c r="B34" s="1998"/>
      <c r="C34" s="59">
        <v>2020</v>
      </c>
      <c r="D34" s="39"/>
      <c r="E34" s="38"/>
      <c r="F34" s="38"/>
      <c r="G34" s="58">
        <f t="shared" si="2"/>
        <v>0</v>
      </c>
      <c r="H34" s="35"/>
      <c r="I34" s="35"/>
      <c r="J34" s="35"/>
      <c r="K34" s="35"/>
      <c r="L34" s="35"/>
      <c r="M34" s="35"/>
      <c r="N34" s="35"/>
      <c r="O34" s="35"/>
      <c r="P34" s="35"/>
      <c r="Q34" s="7"/>
    </row>
    <row r="35" spans="1:18" ht="15.75" thickBot="1">
      <c r="A35" s="1856"/>
      <c r="B35" s="1999"/>
      <c r="C35" s="61" t="s">
        <v>13</v>
      </c>
      <c r="D35" s="46">
        <f>SUM(D28:D34)</f>
        <v>26106</v>
      </c>
      <c r="E35" s="44">
        <f>SUM(E28:E34)</f>
        <v>0</v>
      </c>
      <c r="F35" s="44">
        <f>SUM(F28:F34)</f>
        <v>0</v>
      </c>
      <c r="G35" s="48">
        <f t="shared" si="2"/>
        <v>26106</v>
      </c>
      <c r="H35" s="35"/>
      <c r="I35" s="35"/>
      <c r="J35" s="35"/>
      <c r="K35" s="35"/>
      <c r="L35" s="35"/>
      <c r="M35" s="35"/>
      <c r="N35" s="35"/>
      <c r="O35" s="35"/>
      <c r="P35" s="35"/>
      <c r="Q35" s="7"/>
    </row>
    <row r="36" spans="1:18">
      <c r="A36" s="62"/>
      <c r="B36" s="62"/>
      <c r="C36" s="49"/>
      <c r="H36" s="7"/>
      <c r="I36" s="7"/>
      <c r="J36" s="7"/>
      <c r="K36" s="7"/>
      <c r="L36" s="7"/>
      <c r="M36" s="7"/>
      <c r="N36" s="7"/>
      <c r="O36" s="7"/>
      <c r="P36" s="7"/>
      <c r="Q36" s="7"/>
    </row>
    <row r="37" spans="1:18" ht="21">
      <c r="A37" s="63" t="s">
        <v>25</v>
      </c>
      <c r="B37" s="63"/>
      <c r="C37" s="64"/>
      <c r="D37" s="64"/>
      <c r="E37" s="64"/>
      <c r="F37" s="35"/>
      <c r="G37" s="35"/>
      <c r="H37" s="35"/>
      <c r="I37" s="65"/>
      <c r="J37" s="65"/>
      <c r="K37" s="65"/>
    </row>
    <row r="38" spans="1:18" ht="15.75" thickBot="1">
      <c r="G38" s="35"/>
      <c r="H38" s="35"/>
    </row>
    <row r="39" spans="1:18" ht="126" customHeight="1">
      <c r="A39" s="66" t="s">
        <v>26</v>
      </c>
      <c r="B39" s="67" t="s">
        <v>27</v>
      </c>
      <c r="C39" s="68" t="s">
        <v>9</v>
      </c>
      <c r="D39" s="69" t="s">
        <v>28</v>
      </c>
      <c r="E39" s="70" t="s">
        <v>29</v>
      </c>
      <c r="F39" s="71"/>
      <c r="G39" s="28"/>
      <c r="H39" s="28"/>
    </row>
    <row r="40" spans="1:18">
      <c r="A40" s="2459" t="s">
        <v>30</v>
      </c>
      <c r="B40" s="2000" t="s">
        <v>31</v>
      </c>
      <c r="C40" s="72">
        <v>2014</v>
      </c>
      <c r="D40" s="30"/>
      <c r="E40" s="29"/>
      <c r="F40" s="7"/>
      <c r="G40" s="35"/>
      <c r="H40" s="35"/>
    </row>
    <row r="41" spans="1:18">
      <c r="A41" s="2454"/>
      <c r="B41" s="2000"/>
      <c r="C41" s="73">
        <v>2015</v>
      </c>
      <c r="D41" s="74">
        <v>6220849</v>
      </c>
      <c r="E41" s="75">
        <v>2148345</v>
      </c>
      <c r="F41" s="7"/>
      <c r="G41" s="35"/>
      <c r="H41" s="35"/>
    </row>
    <row r="42" spans="1:18">
      <c r="A42" s="2454"/>
      <c r="B42" s="2000"/>
      <c r="C42" s="73">
        <v>2016</v>
      </c>
      <c r="D42" s="74">
        <v>973000</v>
      </c>
      <c r="E42" s="75">
        <v>666000</v>
      </c>
      <c r="F42" s="7"/>
      <c r="G42" s="35"/>
      <c r="H42" s="35"/>
    </row>
    <row r="43" spans="1:18">
      <c r="A43" s="2454"/>
      <c r="B43" s="2000"/>
      <c r="C43" s="73">
        <v>2017</v>
      </c>
      <c r="D43" s="74">
        <v>27000000</v>
      </c>
      <c r="E43" s="75">
        <v>20000000</v>
      </c>
      <c r="F43" s="7"/>
      <c r="G43" s="35"/>
      <c r="H43" s="35"/>
    </row>
    <row r="44" spans="1:18">
      <c r="A44" s="2454"/>
      <c r="B44" s="2000"/>
      <c r="C44" s="73">
        <v>2018</v>
      </c>
      <c r="D44" s="74"/>
      <c r="E44" s="75"/>
      <c r="F44" s="7"/>
      <c r="G44" s="35"/>
      <c r="H44" s="35"/>
    </row>
    <row r="45" spans="1:18">
      <c r="A45" s="2454"/>
      <c r="B45" s="2000"/>
      <c r="C45" s="73">
        <v>2019</v>
      </c>
      <c r="D45" s="74"/>
      <c r="E45" s="75"/>
      <c r="F45" s="7"/>
      <c r="G45" s="35"/>
      <c r="H45" s="35"/>
    </row>
    <row r="46" spans="1:18">
      <c r="A46" s="2454"/>
      <c r="B46" s="2000"/>
      <c r="C46" s="73">
        <v>2020</v>
      </c>
      <c r="D46" s="74"/>
      <c r="E46" s="75"/>
      <c r="F46" s="7"/>
      <c r="G46" s="35"/>
      <c r="H46" s="35"/>
    </row>
    <row r="47" spans="1:18" ht="15.75" thickBot="1">
      <c r="A47" s="2455"/>
      <c r="B47" s="2001"/>
      <c r="C47" s="42" t="s">
        <v>13</v>
      </c>
      <c r="D47" s="76">
        <f>SUM(D40:D46)</f>
        <v>34193849</v>
      </c>
      <c r="E47" s="77">
        <f>SUM(E40:E46)</f>
        <v>22814345</v>
      </c>
      <c r="F47" s="78"/>
      <c r="G47" s="35"/>
      <c r="H47" s="35"/>
    </row>
    <row r="48" spans="1:18" ht="15.75" thickBot="1">
      <c r="A48" s="79"/>
      <c r="B48" s="80"/>
      <c r="C48" s="81"/>
      <c r="D48" s="35"/>
      <c r="E48" s="35"/>
      <c r="F48" s="35"/>
      <c r="G48" s="35"/>
      <c r="H48" s="35"/>
      <c r="I48" s="35"/>
      <c r="J48" s="35"/>
      <c r="K48" s="35"/>
      <c r="L48" s="35"/>
      <c r="M48" s="35"/>
      <c r="N48" s="35"/>
      <c r="O48" s="35"/>
      <c r="P48" s="35"/>
      <c r="Q48" s="35"/>
      <c r="R48" s="35"/>
    </row>
    <row r="49" spans="1:15" ht="100.5" customHeight="1">
      <c r="A49" s="82" t="s">
        <v>32</v>
      </c>
      <c r="B49" s="83" t="s">
        <v>33</v>
      </c>
      <c r="C49" s="84" t="s">
        <v>9</v>
      </c>
      <c r="D49" s="69" t="s">
        <v>34</v>
      </c>
      <c r="E49" s="85" t="s">
        <v>35</v>
      </c>
      <c r="F49" s="85" t="s">
        <v>36</v>
      </c>
      <c r="G49" s="85" t="s">
        <v>37</v>
      </c>
      <c r="H49" s="85" t="s">
        <v>38</v>
      </c>
      <c r="I49" s="85" t="s">
        <v>39</v>
      </c>
      <c r="J49" s="85" t="s">
        <v>40</v>
      </c>
      <c r="K49" s="86" t="s">
        <v>41</v>
      </c>
    </row>
    <row r="50" spans="1:15">
      <c r="A50" s="2460" t="s">
        <v>42</v>
      </c>
      <c r="B50" s="2462"/>
      <c r="C50" s="87" t="s">
        <v>43</v>
      </c>
      <c r="D50" s="30"/>
      <c r="E50" s="31"/>
      <c r="F50" s="31"/>
      <c r="G50" s="31"/>
      <c r="H50" s="31"/>
      <c r="I50" s="31"/>
      <c r="J50" s="31"/>
      <c r="K50" s="34"/>
    </row>
    <row r="51" spans="1:15">
      <c r="A51" s="2460"/>
      <c r="B51" s="2462"/>
      <c r="C51" s="73">
        <v>2014</v>
      </c>
      <c r="D51" s="37"/>
      <c r="E51" s="38"/>
      <c r="F51" s="38"/>
      <c r="G51" s="38"/>
      <c r="H51" s="38"/>
      <c r="I51" s="38"/>
      <c r="J51" s="38"/>
      <c r="K51" s="88"/>
    </row>
    <row r="52" spans="1:15">
      <c r="A52" s="2460"/>
      <c r="B52" s="2462"/>
      <c r="C52" s="73">
        <v>2015</v>
      </c>
      <c r="D52" s="37">
        <v>1</v>
      </c>
      <c r="E52" s="38"/>
      <c r="F52" s="38"/>
      <c r="G52" s="89">
        <v>5000</v>
      </c>
      <c r="H52" s="38">
        <v>5000</v>
      </c>
      <c r="I52" s="38"/>
      <c r="J52" s="38"/>
      <c r="K52" s="88"/>
    </row>
    <row r="53" spans="1:15">
      <c r="A53" s="2460"/>
      <c r="B53" s="2462"/>
      <c r="C53" s="73">
        <v>2016</v>
      </c>
      <c r="D53" s="90">
        <v>1</v>
      </c>
      <c r="E53" s="91"/>
      <c r="F53" s="91"/>
      <c r="G53" s="92">
        <v>9000</v>
      </c>
      <c r="H53" s="91">
        <v>0</v>
      </c>
      <c r="I53" s="38"/>
      <c r="J53" s="38"/>
      <c r="K53" s="88"/>
    </row>
    <row r="54" spans="1:15">
      <c r="A54" s="2460"/>
      <c r="B54" s="2462"/>
      <c r="C54" s="73">
        <v>2017</v>
      </c>
      <c r="D54" s="90">
        <v>2</v>
      </c>
      <c r="E54" s="91"/>
      <c r="F54" s="91"/>
      <c r="G54" s="92">
        <v>17015</v>
      </c>
      <c r="H54" s="91">
        <v>816</v>
      </c>
      <c r="I54" s="38"/>
      <c r="J54" s="38"/>
      <c r="K54" s="88"/>
    </row>
    <row r="55" spans="1:15">
      <c r="A55" s="2460"/>
      <c r="B55" s="2462"/>
      <c r="C55" s="73">
        <v>2018</v>
      </c>
      <c r="D55" s="37"/>
      <c r="E55" s="38"/>
      <c r="F55" s="38"/>
      <c r="G55" s="89"/>
      <c r="H55" s="38"/>
      <c r="I55" s="38"/>
      <c r="J55" s="38"/>
      <c r="K55" s="88"/>
    </row>
    <row r="56" spans="1:15">
      <c r="A56" s="2460"/>
      <c r="B56" s="2462"/>
      <c r="C56" s="73">
        <v>2019</v>
      </c>
      <c r="D56" s="37"/>
      <c r="E56" s="38"/>
      <c r="F56" s="38"/>
      <c r="G56" s="89"/>
      <c r="H56" s="38"/>
      <c r="I56" s="38"/>
      <c r="J56" s="38"/>
      <c r="K56" s="88"/>
    </row>
    <row r="57" spans="1:15">
      <c r="A57" s="2460"/>
      <c r="B57" s="2462"/>
      <c r="C57" s="73">
        <v>2020</v>
      </c>
      <c r="D57" s="37"/>
      <c r="E57" s="38"/>
      <c r="F57" s="38"/>
      <c r="G57" s="89"/>
      <c r="H57" s="38"/>
      <c r="I57" s="38"/>
      <c r="J57" s="38"/>
      <c r="K57" s="93"/>
    </row>
    <row r="58" spans="1:15" ht="45" customHeight="1" thickBot="1">
      <c r="A58" s="2461"/>
      <c r="B58" s="2463"/>
      <c r="C58" s="42" t="s">
        <v>13</v>
      </c>
      <c r="D58" s="43">
        <f t="shared" ref="D58:J58" si="3">SUM(D51:D57)</f>
        <v>4</v>
      </c>
      <c r="E58" s="44">
        <f t="shared" si="3"/>
        <v>0</v>
      </c>
      <c r="F58" s="44">
        <f t="shared" si="3"/>
        <v>0</v>
      </c>
      <c r="G58" s="94">
        <f>G54</f>
        <v>17015</v>
      </c>
      <c r="H58" s="44">
        <f t="shared" si="3"/>
        <v>5816</v>
      </c>
      <c r="I58" s="44">
        <f t="shared" si="3"/>
        <v>0</v>
      </c>
      <c r="J58" s="44">
        <f t="shared" si="3"/>
        <v>0</v>
      </c>
      <c r="K58" s="48">
        <f>SUM(K50:K56)</f>
        <v>0</v>
      </c>
    </row>
    <row r="59" spans="1:15" ht="15.75" thickBot="1"/>
    <row r="60" spans="1:15" ht="18.75">
      <c r="A60" s="1969" t="s">
        <v>44</v>
      </c>
      <c r="B60" s="95"/>
      <c r="C60" s="1971" t="s">
        <v>9</v>
      </c>
      <c r="D60" s="1941" t="s">
        <v>45</v>
      </c>
      <c r="E60" s="96" t="s">
        <v>6</v>
      </c>
      <c r="F60" s="97"/>
      <c r="G60" s="97"/>
      <c r="H60" s="97"/>
      <c r="I60" s="97"/>
      <c r="J60" s="97"/>
      <c r="K60" s="97"/>
      <c r="L60" s="98"/>
    </row>
    <row r="61" spans="1:15" ht="121.5" customHeight="1">
      <c r="A61" s="1970"/>
      <c r="B61" s="99" t="s">
        <v>33</v>
      </c>
      <c r="C61" s="1972"/>
      <c r="D61" s="1942"/>
      <c r="E61" s="100" t="s">
        <v>14</v>
      </c>
      <c r="F61" s="101" t="s">
        <v>15</v>
      </c>
      <c r="G61" s="101" t="s">
        <v>16</v>
      </c>
      <c r="H61" s="102" t="s">
        <v>17</v>
      </c>
      <c r="I61" s="102" t="s">
        <v>18</v>
      </c>
      <c r="J61" s="103" t="s">
        <v>19</v>
      </c>
      <c r="K61" s="101" t="s">
        <v>20</v>
      </c>
      <c r="L61" s="104" t="s">
        <v>21</v>
      </c>
      <c r="M61" s="105"/>
      <c r="N61" s="7"/>
      <c r="O61" s="7"/>
    </row>
    <row r="62" spans="1:15">
      <c r="A62" s="2447" t="s">
        <v>46</v>
      </c>
      <c r="B62" s="1984"/>
      <c r="C62" s="106">
        <v>2014</v>
      </c>
      <c r="D62" s="107"/>
      <c r="E62" s="108"/>
      <c r="F62" s="109"/>
      <c r="G62" s="109"/>
      <c r="H62" s="109"/>
      <c r="I62" s="109"/>
      <c r="J62" s="109"/>
      <c r="K62" s="109"/>
      <c r="L62" s="34"/>
      <c r="M62" s="7"/>
      <c r="N62" s="7"/>
      <c r="O62" s="7"/>
    </row>
    <row r="63" spans="1:15">
      <c r="A63" s="2440"/>
      <c r="B63" s="1984"/>
      <c r="C63" s="110">
        <v>2015</v>
      </c>
      <c r="D63" s="111"/>
      <c r="E63" s="112"/>
      <c r="F63" s="38"/>
      <c r="G63" s="38"/>
      <c r="H63" s="38"/>
      <c r="I63" s="38"/>
      <c r="J63" s="38"/>
      <c r="K63" s="38"/>
      <c r="L63" s="88"/>
      <c r="M63" s="7"/>
      <c r="N63" s="7"/>
      <c r="O63" s="7"/>
    </row>
    <row r="64" spans="1:15">
      <c r="A64" s="2440"/>
      <c r="B64" s="1984"/>
      <c r="C64" s="110">
        <v>2016</v>
      </c>
      <c r="D64" s="111">
        <v>27</v>
      </c>
      <c r="E64" s="112"/>
      <c r="F64" s="38">
        <v>27</v>
      </c>
      <c r="G64" s="38"/>
      <c r="H64" s="38"/>
      <c r="I64" s="38"/>
      <c r="J64" s="38"/>
      <c r="K64" s="38"/>
      <c r="L64" s="88"/>
      <c r="M64" s="7"/>
      <c r="N64" s="7"/>
      <c r="O64" s="7"/>
    </row>
    <row r="65" spans="1:18">
      <c r="A65" s="2440"/>
      <c r="B65" s="1984"/>
      <c r="C65" s="110">
        <v>2017</v>
      </c>
      <c r="D65" s="111">
        <v>8</v>
      </c>
      <c r="E65" s="112"/>
      <c r="F65" s="38">
        <v>8</v>
      </c>
      <c r="G65" s="38"/>
      <c r="H65" s="38"/>
      <c r="I65" s="38"/>
      <c r="J65" s="38"/>
      <c r="K65" s="38"/>
      <c r="L65" s="88"/>
      <c r="M65" s="7"/>
      <c r="N65" s="7"/>
      <c r="O65" s="7"/>
    </row>
    <row r="66" spans="1:18">
      <c r="A66" s="2440"/>
      <c r="B66" s="1984"/>
      <c r="C66" s="110">
        <v>2018</v>
      </c>
      <c r="D66" s="111"/>
      <c r="E66" s="112"/>
      <c r="F66" s="38"/>
      <c r="G66" s="38"/>
      <c r="H66" s="38"/>
      <c r="I66" s="38"/>
      <c r="J66" s="38"/>
      <c r="K66" s="38"/>
      <c r="L66" s="88"/>
      <c r="M66" s="7"/>
      <c r="N66" s="7"/>
      <c r="O66" s="7"/>
    </row>
    <row r="67" spans="1:18">
      <c r="A67" s="2440"/>
      <c r="B67" s="1984"/>
      <c r="C67" s="110">
        <v>2019</v>
      </c>
      <c r="D67" s="111"/>
      <c r="E67" s="112"/>
      <c r="F67" s="38"/>
      <c r="G67" s="38"/>
      <c r="H67" s="38"/>
      <c r="I67" s="38"/>
      <c r="J67" s="38"/>
      <c r="K67" s="38"/>
      <c r="L67" s="88"/>
      <c r="M67" s="7"/>
      <c r="N67" s="7"/>
      <c r="O67" s="7"/>
    </row>
    <row r="68" spans="1:18">
      <c r="A68" s="2440"/>
      <c r="B68" s="1984"/>
      <c r="C68" s="110">
        <v>2020</v>
      </c>
      <c r="D68" s="111"/>
      <c r="E68" s="112"/>
      <c r="F68" s="38"/>
      <c r="G68" s="38"/>
      <c r="H68" s="38"/>
      <c r="I68" s="38"/>
      <c r="J68" s="38"/>
      <c r="K68" s="38"/>
      <c r="L68" s="88"/>
      <c r="M68" s="78"/>
      <c r="N68" s="78"/>
      <c r="O68" s="78"/>
    </row>
    <row r="69" spans="1:18" ht="34.5" customHeight="1" thickBot="1">
      <c r="A69" s="1980"/>
      <c r="B69" s="1985"/>
      <c r="C69" s="113" t="s">
        <v>13</v>
      </c>
      <c r="D69" s="114">
        <f t="shared" ref="D69:I69" si="4">SUM(D62:D68)</f>
        <v>35</v>
      </c>
      <c r="E69" s="115">
        <f t="shared" si="4"/>
        <v>0</v>
      </c>
      <c r="F69" s="116">
        <f t="shared" si="4"/>
        <v>35</v>
      </c>
      <c r="G69" s="116">
        <f t="shared" si="4"/>
        <v>0</v>
      </c>
      <c r="H69" s="116">
        <f t="shared" si="4"/>
        <v>0</v>
      </c>
      <c r="I69" s="116">
        <f t="shared" si="4"/>
        <v>0</v>
      </c>
      <c r="J69" s="116"/>
      <c r="K69" s="116">
        <f>SUM(K62:K68)</f>
        <v>0</v>
      </c>
      <c r="L69" s="117">
        <f>SUM(L62:L68)</f>
        <v>0</v>
      </c>
      <c r="M69" s="78"/>
      <c r="N69" s="78"/>
      <c r="O69" s="78"/>
    </row>
    <row r="70" spans="1:18" ht="15.75" thickBot="1">
      <c r="A70" s="118"/>
      <c r="B70" s="119"/>
      <c r="C70" s="120"/>
      <c r="D70" s="121"/>
      <c r="E70" s="121"/>
      <c r="F70" s="121"/>
      <c r="G70" s="121"/>
      <c r="H70" s="120"/>
      <c r="I70" s="122"/>
      <c r="J70" s="122"/>
      <c r="K70" s="122"/>
      <c r="L70" s="122"/>
      <c r="M70" s="122"/>
      <c r="N70" s="122"/>
      <c r="O70" s="122"/>
      <c r="P70" s="56"/>
      <c r="Q70" s="56"/>
      <c r="R70" s="56"/>
    </row>
    <row r="71" spans="1:18" ht="127.5" customHeight="1">
      <c r="A71" s="66" t="s">
        <v>47</v>
      </c>
      <c r="B71" s="95" t="s">
        <v>48</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18">
      <c r="A72" s="2456" t="s">
        <v>53</v>
      </c>
      <c r="B72" s="1998" t="s">
        <v>54</v>
      </c>
      <c r="C72" s="72">
        <v>2014</v>
      </c>
      <c r="D72" s="131"/>
      <c r="E72" s="131"/>
      <c r="F72" s="131"/>
      <c r="G72" s="132">
        <v>0</v>
      </c>
      <c r="H72" s="30"/>
      <c r="I72" s="133"/>
      <c r="J72" s="109"/>
      <c r="K72" s="109"/>
      <c r="L72" s="109"/>
      <c r="M72" s="109"/>
      <c r="N72" s="109"/>
      <c r="O72" s="134"/>
    </row>
    <row r="73" spans="1:18">
      <c r="A73" s="2435"/>
      <c r="B73" s="1998"/>
      <c r="C73" s="73">
        <v>2015</v>
      </c>
      <c r="D73" s="135">
        <v>21</v>
      </c>
      <c r="E73" s="135"/>
      <c r="F73" s="135">
        <v>1</v>
      </c>
      <c r="G73" s="132">
        <f>SUM(D73:F73)</f>
        <v>22</v>
      </c>
      <c r="H73" s="37">
        <v>21</v>
      </c>
      <c r="I73" s="37"/>
      <c r="J73" s="38"/>
      <c r="K73" s="38"/>
      <c r="L73" s="38"/>
      <c r="M73" s="38"/>
      <c r="N73" s="38"/>
      <c r="O73" s="88">
        <v>1</v>
      </c>
    </row>
    <row r="74" spans="1:18">
      <c r="A74" s="2435"/>
      <c r="B74" s="1998"/>
      <c r="C74" s="73">
        <v>2016</v>
      </c>
      <c r="D74" s="135">
        <v>30</v>
      </c>
      <c r="E74" s="135"/>
      <c r="F74" s="135"/>
      <c r="G74" s="132">
        <f>SUM(D74:F74)</f>
        <v>30</v>
      </c>
      <c r="H74" s="37"/>
      <c r="I74" s="37">
        <v>30</v>
      </c>
      <c r="J74" s="38"/>
      <c r="K74" s="38"/>
      <c r="L74" s="38"/>
      <c r="M74" s="38"/>
      <c r="N74" s="38"/>
      <c r="O74" s="88"/>
    </row>
    <row r="75" spans="1:18">
      <c r="A75" s="2435"/>
      <c r="B75" s="1998"/>
      <c r="C75" s="73">
        <v>2017</v>
      </c>
      <c r="D75" s="135">
        <v>37</v>
      </c>
      <c r="E75" s="135"/>
      <c r="F75" s="135"/>
      <c r="G75" s="132">
        <v>37</v>
      </c>
      <c r="H75" s="37"/>
      <c r="I75" s="37">
        <v>37</v>
      </c>
      <c r="J75" s="38"/>
      <c r="K75" s="38"/>
      <c r="L75" s="38"/>
      <c r="M75" s="38"/>
      <c r="N75" s="38"/>
      <c r="O75" s="88"/>
    </row>
    <row r="76" spans="1:18">
      <c r="A76" s="2435"/>
      <c r="B76" s="1998"/>
      <c r="C76" s="73">
        <v>2018</v>
      </c>
      <c r="D76" s="135"/>
      <c r="E76" s="135"/>
      <c r="F76" s="135"/>
      <c r="G76" s="132">
        <v>0</v>
      </c>
      <c r="H76" s="37"/>
      <c r="I76" s="37"/>
      <c r="J76" s="38"/>
      <c r="K76" s="38"/>
      <c r="L76" s="38"/>
      <c r="M76" s="38"/>
      <c r="N76" s="38"/>
      <c r="O76" s="88"/>
    </row>
    <row r="77" spans="1:18">
      <c r="A77" s="2435"/>
      <c r="B77" s="1998"/>
      <c r="C77" s="73">
        <v>2019</v>
      </c>
      <c r="D77" s="135"/>
      <c r="E77" s="135"/>
      <c r="F77" s="135"/>
      <c r="G77" s="132">
        <v>0</v>
      </c>
      <c r="H77" s="37"/>
      <c r="I77" s="37"/>
      <c r="J77" s="38"/>
      <c r="K77" s="38"/>
      <c r="L77" s="38"/>
      <c r="M77" s="38"/>
      <c r="N77" s="38"/>
      <c r="O77" s="88"/>
    </row>
    <row r="78" spans="1:18">
      <c r="A78" s="2435"/>
      <c r="B78" s="1998"/>
      <c r="C78" s="73">
        <v>2020</v>
      </c>
      <c r="D78" s="135"/>
      <c r="E78" s="135"/>
      <c r="F78" s="135"/>
      <c r="G78" s="132">
        <v>0</v>
      </c>
      <c r="H78" s="37"/>
      <c r="I78" s="37"/>
      <c r="J78" s="38"/>
      <c r="K78" s="38"/>
      <c r="L78" s="38"/>
      <c r="M78" s="38"/>
      <c r="N78" s="38"/>
      <c r="O78" s="88"/>
    </row>
    <row r="79" spans="1:18" ht="39" customHeight="1" thickBot="1">
      <c r="A79" s="1980"/>
      <c r="B79" s="1999"/>
      <c r="C79" s="136" t="s">
        <v>13</v>
      </c>
      <c r="D79" s="114">
        <f>SUM(D72:D78)</f>
        <v>88</v>
      </c>
      <c r="E79" s="114">
        <f>SUM(E72:E78)</f>
        <v>0</v>
      </c>
      <c r="F79" s="114">
        <f>SUM(F72:F78)</f>
        <v>1</v>
      </c>
      <c r="G79" s="137">
        <f>SUM(G72:G78)</f>
        <v>89</v>
      </c>
      <c r="H79" s="138">
        <v>0</v>
      </c>
      <c r="I79" s="139">
        <f t="shared" ref="I79:O79" si="5">SUM(I72:I78)</f>
        <v>67</v>
      </c>
      <c r="J79" s="116">
        <f t="shared" si="5"/>
        <v>0</v>
      </c>
      <c r="K79" s="116">
        <f t="shared" si="5"/>
        <v>0</v>
      </c>
      <c r="L79" s="116">
        <f t="shared" si="5"/>
        <v>0</v>
      </c>
      <c r="M79" s="116">
        <f t="shared" si="5"/>
        <v>0</v>
      </c>
      <c r="N79" s="116">
        <f t="shared" si="5"/>
        <v>0</v>
      </c>
      <c r="O79" s="117">
        <f t="shared" si="5"/>
        <v>1</v>
      </c>
    </row>
    <row r="81" spans="1:18">
      <c r="A81" s="140"/>
      <c r="B81" s="119"/>
      <c r="C81" s="141"/>
      <c r="D81" s="142"/>
      <c r="E81" s="78"/>
      <c r="F81" s="78"/>
      <c r="G81" s="78"/>
      <c r="H81" s="78"/>
      <c r="I81" s="78"/>
      <c r="J81" s="78"/>
      <c r="K81" s="78"/>
    </row>
    <row r="82" spans="1:18" ht="21">
      <c r="A82" s="143" t="s">
        <v>55</v>
      </c>
      <c r="B82" s="143"/>
      <c r="C82" s="144"/>
      <c r="D82" s="144"/>
      <c r="E82" s="144"/>
      <c r="F82" s="144"/>
      <c r="G82" s="144"/>
      <c r="H82" s="144"/>
      <c r="I82" s="144"/>
      <c r="J82" s="144"/>
      <c r="K82" s="144"/>
      <c r="L82" s="145"/>
    </row>
    <row r="83" spans="1:18" ht="15.75" thickBot="1">
      <c r="A83" s="146"/>
      <c r="B83" s="146"/>
    </row>
    <row r="84" spans="1:18" ht="129.75" customHeight="1">
      <c r="A84" s="147" t="s">
        <v>56</v>
      </c>
      <c r="B84" s="148" t="s">
        <v>57</v>
      </c>
      <c r="C84" s="149" t="s">
        <v>9</v>
      </c>
      <c r="D84" s="150" t="s">
        <v>58</v>
      </c>
      <c r="E84" s="151" t="s">
        <v>59</v>
      </c>
      <c r="F84" s="152" t="s">
        <v>60</v>
      </c>
      <c r="G84" s="152" t="s">
        <v>61</v>
      </c>
      <c r="H84" s="152" t="s">
        <v>62</v>
      </c>
      <c r="I84" s="152" t="s">
        <v>63</v>
      </c>
      <c r="J84" s="152" t="s">
        <v>64</v>
      </c>
      <c r="K84" s="153" t="s">
        <v>65</v>
      </c>
      <c r="L84" s="56"/>
      <c r="M84" s="56"/>
      <c r="N84" s="56"/>
      <c r="O84" s="56"/>
      <c r="P84" s="56"/>
      <c r="Q84" s="56"/>
      <c r="R84" s="56"/>
    </row>
    <row r="85" spans="1:18">
      <c r="A85" s="2457" t="s">
        <v>66</v>
      </c>
      <c r="B85" s="1998"/>
      <c r="C85" s="72">
        <v>2014</v>
      </c>
      <c r="D85" s="154"/>
      <c r="E85" s="155"/>
      <c r="F85" s="31"/>
      <c r="G85" s="31"/>
      <c r="H85" s="31"/>
      <c r="I85" s="31"/>
      <c r="J85" s="31"/>
      <c r="K85" s="34"/>
    </row>
    <row r="86" spans="1:18">
      <c r="A86" s="2458"/>
      <c r="B86" s="1998"/>
      <c r="C86" s="73">
        <v>2015</v>
      </c>
      <c r="D86" s="156"/>
      <c r="E86" s="112"/>
      <c r="F86" s="38"/>
      <c r="G86" s="38"/>
      <c r="H86" s="38"/>
      <c r="I86" s="38"/>
      <c r="J86" s="38"/>
      <c r="K86" s="88"/>
    </row>
    <row r="87" spans="1:18">
      <c r="A87" s="2458"/>
      <c r="B87" s="1998"/>
      <c r="C87" s="73">
        <v>2016</v>
      </c>
      <c r="D87" s="156"/>
      <c r="E87" s="112"/>
      <c r="F87" s="38"/>
      <c r="G87" s="38"/>
      <c r="H87" s="38"/>
      <c r="I87" s="38"/>
      <c r="J87" s="38"/>
      <c r="K87" s="88"/>
    </row>
    <row r="88" spans="1:18">
      <c r="A88" s="2458"/>
      <c r="B88" s="1998"/>
      <c r="C88" s="73">
        <v>2017</v>
      </c>
      <c r="D88" s="156"/>
      <c r="E88" s="112"/>
      <c r="F88" s="38"/>
      <c r="G88" s="38"/>
      <c r="H88" s="38"/>
      <c r="I88" s="38"/>
      <c r="J88" s="38"/>
      <c r="K88" s="88"/>
    </row>
    <row r="89" spans="1:18">
      <c r="A89" s="2458"/>
      <c r="B89" s="1998"/>
      <c r="C89" s="73">
        <v>2018</v>
      </c>
      <c r="D89" s="156"/>
      <c r="E89" s="112"/>
      <c r="F89" s="38"/>
      <c r="G89" s="38"/>
      <c r="H89" s="38"/>
      <c r="I89" s="38"/>
      <c r="J89" s="38"/>
      <c r="K89" s="88"/>
    </row>
    <row r="90" spans="1:18">
      <c r="A90" s="2458"/>
      <c r="B90" s="1998"/>
      <c r="C90" s="73">
        <v>2019</v>
      </c>
      <c r="D90" s="156"/>
      <c r="E90" s="112"/>
      <c r="F90" s="38"/>
      <c r="G90" s="38"/>
      <c r="H90" s="38"/>
      <c r="I90" s="38"/>
      <c r="J90" s="38"/>
      <c r="K90" s="88"/>
    </row>
    <row r="91" spans="1:18">
      <c r="A91" s="2458"/>
      <c r="B91" s="1998"/>
      <c r="C91" s="73">
        <v>2020</v>
      </c>
      <c r="D91" s="156"/>
      <c r="E91" s="112"/>
      <c r="F91" s="38"/>
      <c r="G91" s="38"/>
      <c r="H91" s="38"/>
      <c r="I91" s="38"/>
      <c r="J91" s="38"/>
      <c r="K91" s="88"/>
    </row>
    <row r="92" spans="1:18" ht="15.75" thickBot="1">
      <c r="A92" s="1940"/>
      <c r="B92" s="1999"/>
      <c r="C92" s="136" t="s">
        <v>13</v>
      </c>
      <c r="D92" s="157">
        <f t="shared" ref="D92:I92" si="6">SUM(D85:D91)</f>
        <v>0</v>
      </c>
      <c r="E92" s="115">
        <f t="shared" si="6"/>
        <v>0</v>
      </c>
      <c r="F92" s="116">
        <f t="shared" si="6"/>
        <v>0</v>
      </c>
      <c r="G92" s="116">
        <f t="shared" si="6"/>
        <v>0</v>
      </c>
      <c r="H92" s="116">
        <f t="shared" si="6"/>
        <v>0</v>
      </c>
      <c r="I92" s="116">
        <f t="shared" si="6"/>
        <v>0</v>
      </c>
      <c r="J92" s="116">
        <f>SUM(J85:J91)</f>
        <v>0</v>
      </c>
      <c r="K92" s="117">
        <f>SUM(K85:K91)</f>
        <v>0</v>
      </c>
    </row>
    <row r="94" spans="1:18" ht="21">
      <c r="A94" s="158" t="s">
        <v>67</v>
      </c>
      <c r="B94" s="158"/>
      <c r="C94" s="159"/>
      <c r="D94" s="159"/>
      <c r="E94" s="159"/>
      <c r="F94" s="159"/>
      <c r="G94" s="159"/>
      <c r="H94" s="159"/>
      <c r="I94" s="159"/>
      <c r="J94" s="159"/>
      <c r="K94" s="159"/>
      <c r="L94" s="159"/>
      <c r="M94" s="159"/>
      <c r="N94" s="160"/>
      <c r="O94" s="160"/>
      <c r="P94" s="160"/>
    </row>
    <row r="95" spans="1:18" ht="21.75" thickBot="1">
      <c r="A95" s="161"/>
      <c r="B95" s="161"/>
      <c r="C95" s="65"/>
      <c r="D95" s="65"/>
      <c r="E95" s="65"/>
      <c r="F95" s="65"/>
      <c r="G95" s="65"/>
      <c r="H95" s="65"/>
      <c r="I95" s="65"/>
      <c r="J95" s="65"/>
      <c r="K95" s="65"/>
      <c r="L95" s="65"/>
      <c r="M95" s="65"/>
      <c r="N95" s="65"/>
      <c r="O95" s="65"/>
      <c r="P95" s="65"/>
      <c r="Q95" s="65"/>
      <c r="R95" s="65"/>
    </row>
    <row r="96" spans="1:18">
      <c r="A96" s="1909" t="s">
        <v>68</v>
      </c>
      <c r="B96" s="2451" t="s">
        <v>69</v>
      </c>
      <c r="C96" s="1924" t="s">
        <v>9</v>
      </c>
      <c r="D96" s="1916" t="s">
        <v>70</v>
      </c>
      <c r="E96" s="1917"/>
      <c r="F96" s="162" t="s">
        <v>71</v>
      </c>
      <c r="G96" s="163"/>
      <c r="H96" s="163"/>
      <c r="I96" s="163"/>
      <c r="J96" s="163"/>
      <c r="K96" s="163"/>
      <c r="L96" s="163"/>
      <c r="M96" s="164"/>
      <c r="N96" s="165"/>
      <c r="O96" s="165"/>
      <c r="P96" s="165"/>
    </row>
    <row r="97" spans="1:16" ht="84.75">
      <c r="A97" s="1910"/>
      <c r="B97" s="245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c r="A98" s="2447" t="s">
        <v>76</v>
      </c>
      <c r="B98" s="2448"/>
      <c r="C98" s="106">
        <v>2014</v>
      </c>
      <c r="D98" s="30"/>
      <c r="E98" s="31"/>
      <c r="F98" s="174"/>
      <c r="G98" s="175"/>
      <c r="H98" s="175"/>
      <c r="I98" s="175"/>
      <c r="J98" s="175"/>
      <c r="K98" s="175"/>
      <c r="L98" s="175"/>
      <c r="M98" s="176"/>
      <c r="N98" s="165"/>
      <c r="O98" s="165"/>
      <c r="P98" s="165"/>
    </row>
    <row r="99" spans="1:16">
      <c r="A99" s="2440"/>
      <c r="B99" s="2449"/>
      <c r="C99" s="110">
        <v>2015</v>
      </c>
      <c r="D99" s="37"/>
      <c r="E99" s="38"/>
      <c r="F99" s="177"/>
      <c r="G99" s="178"/>
      <c r="H99" s="178"/>
      <c r="I99" s="178"/>
      <c r="J99" s="178"/>
      <c r="K99" s="178"/>
      <c r="L99" s="178"/>
      <c r="M99" s="179"/>
      <c r="N99" s="165"/>
      <c r="O99" s="165"/>
      <c r="P99" s="165"/>
    </row>
    <row r="100" spans="1:16">
      <c r="A100" s="2440"/>
      <c r="B100" s="2449"/>
      <c r="C100" s="110">
        <v>2016</v>
      </c>
      <c r="D100" s="37"/>
      <c r="E100" s="38"/>
      <c r="F100" s="177"/>
      <c r="G100" s="178"/>
      <c r="H100" s="178"/>
      <c r="I100" s="178"/>
      <c r="J100" s="178"/>
      <c r="K100" s="178"/>
      <c r="L100" s="178"/>
      <c r="M100" s="179"/>
      <c r="N100" s="165"/>
      <c r="O100" s="165"/>
      <c r="P100" s="165"/>
    </row>
    <row r="101" spans="1:16">
      <c r="A101" s="2440"/>
      <c r="B101" s="2449"/>
      <c r="C101" s="110">
        <v>2017</v>
      </c>
      <c r="D101" s="37"/>
      <c r="E101" s="38"/>
      <c r="F101" s="177"/>
      <c r="G101" s="178"/>
      <c r="H101" s="178"/>
      <c r="I101" s="178"/>
      <c r="J101" s="178"/>
      <c r="K101" s="178"/>
      <c r="L101" s="178"/>
      <c r="M101" s="179"/>
      <c r="N101" s="165"/>
      <c r="O101" s="165"/>
      <c r="P101" s="165"/>
    </row>
    <row r="102" spans="1:16">
      <c r="A102" s="2440"/>
      <c r="B102" s="2449"/>
      <c r="C102" s="110">
        <v>2018</v>
      </c>
      <c r="D102" s="37"/>
      <c r="E102" s="38"/>
      <c r="F102" s="177"/>
      <c r="G102" s="178"/>
      <c r="H102" s="178"/>
      <c r="I102" s="178"/>
      <c r="J102" s="178"/>
      <c r="K102" s="178"/>
      <c r="L102" s="178"/>
      <c r="M102" s="179"/>
      <c r="N102" s="165"/>
      <c r="O102" s="165"/>
      <c r="P102" s="165"/>
    </row>
    <row r="103" spans="1:16">
      <c r="A103" s="2440"/>
      <c r="B103" s="2449"/>
      <c r="C103" s="110">
        <v>2019</v>
      </c>
      <c r="D103" s="37"/>
      <c r="E103" s="38"/>
      <c r="F103" s="177"/>
      <c r="G103" s="178"/>
      <c r="H103" s="178"/>
      <c r="I103" s="178"/>
      <c r="J103" s="178"/>
      <c r="K103" s="178"/>
      <c r="L103" s="178"/>
      <c r="M103" s="179"/>
      <c r="N103" s="165"/>
      <c r="O103" s="165"/>
      <c r="P103" s="165"/>
    </row>
    <row r="104" spans="1:16">
      <c r="A104" s="2440"/>
      <c r="B104" s="2449"/>
      <c r="C104" s="110">
        <v>2020</v>
      </c>
      <c r="D104" s="37"/>
      <c r="E104" s="38"/>
      <c r="F104" s="177"/>
      <c r="G104" s="178"/>
      <c r="H104" s="178"/>
      <c r="I104" s="178"/>
      <c r="J104" s="178"/>
      <c r="K104" s="178"/>
      <c r="L104" s="178"/>
      <c r="M104" s="179"/>
      <c r="N104" s="165"/>
      <c r="O104" s="165"/>
      <c r="P104" s="165"/>
    </row>
    <row r="105" spans="1:16" ht="15.75" thickBot="1">
      <c r="A105" s="1915"/>
      <c r="B105" s="2450"/>
      <c r="C105" s="113" t="s">
        <v>13</v>
      </c>
      <c r="D105" s="139">
        <f t="shared" ref="D105:K105" si="7">SUM(D98:D104)</f>
        <v>0</v>
      </c>
      <c r="E105" s="116">
        <f t="shared" si="7"/>
        <v>0</v>
      </c>
      <c r="F105" s="180">
        <f t="shared" si="7"/>
        <v>0</v>
      </c>
      <c r="G105" s="181">
        <f t="shared" si="7"/>
        <v>0</v>
      </c>
      <c r="H105" s="181">
        <f t="shared" si="7"/>
        <v>0</v>
      </c>
      <c r="I105" s="181">
        <f t="shared" si="7"/>
        <v>0</v>
      </c>
      <c r="J105" s="181">
        <f t="shared" si="7"/>
        <v>0</v>
      </c>
      <c r="K105" s="181">
        <f t="shared" si="7"/>
        <v>0</v>
      </c>
      <c r="L105" s="181">
        <f>SUM(L98:L104)</f>
        <v>0</v>
      </c>
      <c r="M105" s="182">
        <f>SUM(M98:M104)</f>
        <v>0</v>
      </c>
      <c r="N105" s="165"/>
      <c r="O105" s="165"/>
      <c r="P105" s="165"/>
    </row>
    <row r="106" spans="1:16" ht="15.75" thickBot="1">
      <c r="A106" s="183"/>
      <c r="B106" s="183"/>
      <c r="C106" s="184"/>
      <c r="D106" s="7"/>
      <c r="E106" s="7"/>
      <c r="H106" s="185"/>
      <c r="I106" s="185"/>
      <c r="J106" s="185"/>
      <c r="K106" s="185"/>
      <c r="L106" s="185"/>
      <c r="M106" s="185"/>
      <c r="N106" s="185"/>
    </row>
    <row r="107" spans="1:16">
      <c r="A107" s="1909" t="s">
        <v>77</v>
      </c>
      <c r="B107" s="2451" t="s">
        <v>69</v>
      </c>
      <c r="C107" s="1924" t="s">
        <v>9</v>
      </c>
      <c r="D107" s="1926" t="s">
        <v>78</v>
      </c>
      <c r="E107" s="162" t="s">
        <v>79</v>
      </c>
      <c r="F107" s="163"/>
      <c r="G107" s="163"/>
      <c r="H107" s="163"/>
      <c r="I107" s="163"/>
      <c r="J107" s="163"/>
      <c r="K107" s="163"/>
      <c r="L107" s="164"/>
      <c r="M107" s="185"/>
      <c r="N107" s="185"/>
    </row>
    <row r="108" spans="1:16" ht="118.5" customHeight="1">
      <c r="A108" s="1910"/>
      <c r="B108" s="2452"/>
      <c r="C108" s="1925"/>
      <c r="D108" s="1927"/>
      <c r="E108" s="168" t="s">
        <v>14</v>
      </c>
      <c r="F108" s="169" t="s">
        <v>74</v>
      </c>
      <c r="G108" s="170" t="s">
        <v>61</v>
      </c>
      <c r="H108" s="171" t="s">
        <v>62</v>
      </c>
      <c r="I108" s="171" t="s">
        <v>63</v>
      </c>
      <c r="J108" s="172" t="s">
        <v>75</v>
      </c>
      <c r="K108" s="170" t="s">
        <v>64</v>
      </c>
      <c r="L108" s="173" t="s">
        <v>65</v>
      </c>
      <c r="M108" s="185"/>
      <c r="N108" s="185"/>
    </row>
    <row r="109" spans="1:16">
      <c r="A109" s="2447" t="s">
        <v>80</v>
      </c>
      <c r="B109" s="2448"/>
      <c r="C109" s="106">
        <v>2014</v>
      </c>
      <c r="D109" s="31"/>
      <c r="E109" s="174"/>
      <c r="F109" s="175"/>
      <c r="G109" s="175"/>
      <c r="H109" s="175"/>
      <c r="I109" s="175"/>
      <c r="J109" s="175"/>
      <c r="K109" s="175"/>
      <c r="L109" s="176"/>
      <c r="M109" s="185"/>
      <c r="N109" s="185"/>
    </row>
    <row r="110" spans="1:16">
      <c r="A110" s="2440"/>
      <c r="B110" s="2449"/>
      <c r="C110" s="110">
        <v>2015</v>
      </c>
      <c r="D110" s="38"/>
      <c r="E110" s="177"/>
      <c r="F110" s="178"/>
      <c r="G110" s="178"/>
      <c r="H110" s="178"/>
      <c r="I110" s="178"/>
      <c r="J110" s="178"/>
      <c r="K110" s="178"/>
      <c r="L110" s="179"/>
      <c r="M110" s="185"/>
      <c r="N110" s="185"/>
    </row>
    <row r="111" spans="1:16">
      <c r="A111" s="2440"/>
      <c r="B111" s="2449"/>
      <c r="C111" s="110">
        <v>2016</v>
      </c>
      <c r="D111" s="38"/>
      <c r="E111" s="177"/>
      <c r="F111" s="178"/>
      <c r="G111" s="178"/>
      <c r="H111" s="178"/>
      <c r="I111" s="178"/>
      <c r="J111" s="178"/>
      <c r="K111" s="178"/>
      <c r="L111" s="179"/>
      <c r="M111" s="185"/>
      <c r="N111" s="185"/>
    </row>
    <row r="112" spans="1:16">
      <c r="A112" s="2440"/>
      <c r="B112" s="2449"/>
      <c r="C112" s="110">
        <v>2017</v>
      </c>
      <c r="D112" s="38"/>
      <c r="E112" s="177"/>
      <c r="F112" s="178"/>
      <c r="G112" s="178"/>
      <c r="H112" s="178"/>
      <c r="I112" s="178"/>
      <c r="J112" s="178"/>
      <c r="K112" s="178"/>
      <c r="L112" s="179"/>
      <c r="M112" s="185"/>
      <c r="N112" s="185"/>
    </row>
    <row r="113" spans="1:14">
      <c r="A113" s="2440"/>
      <c r="B113" s="2449"/>
      <c r="C113" s="110">
        <v>2018</v>
      </c>
      <c r="D113" s="38"/>
      <c r="E113" s="177"/>
      <c r="F113" s="178"/>
      <c r="G113" s="178"/>
      <c r="H113" s="178"/>
      <c r="I113" s="178"/>
      <c r="J113" s="178"/>
      <c r="K113" s="178"/>
      <c r="L113" s="179"/>
      <c r="M113" s="185"/>
      <c r="N113" s="185"/>
    </row>
    <row r="114" spans="1:14">
      <c r="A114" s="2440"/>
      <c r="B114" s="2449"/>
      <c r="C114" s="110">
        <v>2019</v>
      </c>
      <c r="D114" s="38"/>
      <c r="E114" s="177"/>
      <c r="F114" s="178"/>
      <c r="G114" s="178"/>
      <c r="H114" s="178"/>
      <c r="I114" s="178"/>
      <c r="J114" s="178"/>
      <c r="K114" s="178"/>
      <c r="L114" s="179"/>
      <c r="M114" s="185"/>
      <c r="N114" s="185"/>
    </row>
    <row r="115" spans="1:14">
      <c r="A115" s="2440"/>
      <c r="B115" s="2449"/>
      <c r="C115" s="110">
        <v>2020</v>
      </c>
      <c r="D115" s="38"/>
      <c r="E115" s="177"/>
      <c r="F115" s="178"/>
      <c r="G115" s="178"/>
      <c r="H115" s="178"/>
      <c r="I115" s="178"/>
      <c r="J115" s="178"/>
      <c r="K115" s="178"/>
      <c r="L115" s="179"/>
      <c r="M115" s="185"/>
      <c r="N115" s="185"/>
    </row>
    <row r="116" spans="1:14" ht="15.75" thickBot="1">
      <c r="A116" s="1915"/>
      <c r="B116" s="2450"/>
      <c r="C116" s="113" t="s">
        <v>13</v>
      </c>
      <c r="D116" s="116">
        <f t="shared" ref="D116:I116" si="8">SUM(D109:D115)</f>
        <v>0</v>
      </c>
      <c r="E116" s="180">
        <f t="shared" si="8"/>
        <v>0</v>
      </c>
      <c r="F116" s="181">
        <f t="shared" si="8"/>
        <v>0</v>
      </c>
      <c r="G116" s="181">
        <f t="shared" si="8"/>
        <v>0</v>
      </c>
      <c r="H116" s="181">
        <f t="shared" si="8"/>
        <v>0</v>
      </c>
      <c r="I116" s="181">
        <f t="shared" si="8"/>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c r="A118" s="1909" t="s">
        <v>81</v>
      </c>
      <c r="B118" s="2451" t="s">
        <v>69</v>
      </c>
      <c r="C118" s="1924" t="s">
        <v>9</v>
      </c>
      <c r="D118" s="1926" t="s">
        <v>82</v>
      </c>
      <c r="E118" s="162" t="s">
        <v>79</v>
      </c>
      <c r="F118" s="163"/>
      <c r="G118" s="163"/>
      <c r="H118" s="163"/>
      <c r="I118" s="163"/>
      <c r="J118" s="163"/>
      <c r="K118" s="163"/>
      <c r="L118" s="164"/>
      <c r="M118" s="185"/>
      <c r="N118" s="185"/>
    </row>
    <row r="119" spans="1:14" ht="133.5" customHeight="1">
      <c r="A119" s="1910"/>
      <c r="B119" s="2452"/>
      <c r="C119" s="1925"/>
      <c r="D119" s="1927"/>
      <c r="E119" s="168" t="s">
        <v>14</v>
      </c>
      <c r="F119" s="169" t="s">
        <v>74</v>
      </c>
      <c r="G119" s="170" t="s">
        <v>61</v>
      </c>
      <c r="H119" s="171" t="s">
        <v>62</v>
      </c>
      <c r="I119" s="171" t="s">
        <v>63</v>
      </c>
      <c r="J119" s="172" t="s">
        <v>75</v>
      </c>
      <c r="K119" s="170" t="s">
        <v>64</v>
      </c>
      <c r="L119" s="173" t="s">
        <v>65</v>
      </c>
      <c r="M119" s="185"/>
      <c r="N119" s="185"/>
    </row>
    <row r="120" spans="1:14">
      <c r="A120" s="2447" t="s">
        <v>83</v>
      </c>
      <c r="B120" s="2448"/>
      <c r="C120" s="106">
        <v>2014</v>
      </c>
      <c r="D120" s="31"/>
      <c r="E120" s="174"/>
      <c r="F120" s="175"/>
      <c r="G120" s="175"/>
      <c r="H120" s="175"/>
      <c r="I120" s="175"/>
      <c r="J120" s="175"/>
      <c r="K120" s="175"/>
      <c r="L120" s="176"/>
      <c r="M120" s="185"/>
      <c r="N120" s="185"/>
    </row>
    <row r="121" spans="1:14">
      <c r="A121" s="2440"/>
      <c r="B121" s="2449"/>
      <c r="C121" s="110">
        <v>2015</v>
      </c>
      <c r="D121" s="38"/>
      <c r="E121" s="177"/>
      <c r="F121" s="178"/>
      <c r="G121" s="178"/>
      <c r="H121" s="178"/>
      <c r="I121" s="178"/>
      <c r="J121" s="178"/>
      <c r="K121" s="178"/>
      <c r="L121" s="179"/>
      <c r="M121" s="185"/>
      <c r="N121" s="185"/>
    </row>
    <row r="122" spans="1:14">
      <c r="A122" s="2440"/>
      <c r="B122" s="2449"/>
      <c r="C122" s="110">
        <v>2016</v>
      </c>
      <c r="D122" s="38"/>
      <c r="E122" s="177"/>
      <c r="F122" s="178"/>
      <c r="G122" s="178"/>
      <c r="H122" s="178"/>
      <c r="I122" s="178"/>
      <c r="J122" s="178"/>
      <c r="K122" s="178"/>
      <c r="L122" s="179"/>
      <c r="M122" s="185"/>
      <c r="N122" s="185"/>
    </row>
    <row r="123" spans="1:14">
      <c r="A123" s="2440"/>
      <c r="B123" s="2449"/>
      <c r="C123" s="110">
        <v>2017</v>
      </c>
      <c r="D123" s="38"/>
      <c r="E123" s="177"/>
      <c r="F123" s="178"/>
      <c r="G123" s="178"/>
      <c r="H123" s="178"/>
      <c r="I123" s="178"/>
      <c r="J123" s="178"/>
      <c r="K123" s="178"/>
      <c r="L123" s="179"/>
      <c r="M123" s="185"/>
      <c r="N123" s="185"/>
    </row>
    <row r="124" spans="1:14">
      <c r="A124" s="2440"/>
      <c r="B124" s="2449"/>
      <c r="C124" s="110">
        <v>2018</v>
      </c>
      <c r="D124" s="38"/>
      <c r="E124" s="177"/>
      <c r="F124" s="178"/>
      <c r="G124" s="178"/>
      <c r="H124" s="178"/>
      <c r="I124" s="178"/>
      <c r="J124" s="178"/>
      <c r="K124" s="178"/>
      <c r="L124" s="179"/>
      <c r="M124" s="185"/>
      <c r="N124" s="185"/>
    </row>
    <row r="125" spans="1:14">
      <c r="A125" s="2440"/>
      <c r="B125" s="2449"/>
      <c r="C125" s="110">
        <v>2019</v>
      </c>
      <c r="D125" s="38"/>
      <c r="E125" s="177"/>
      <c r="F125" s="178"/>
      <c r="G125" s="178"/>
      <c r="H125" s="178"/>
      <c r="I125" s="178"/>
      <c r="J125" s="178"/>
      <c r="K125" s="178"/>
      <c r="L125" s="179"/>
      <c r="M125" s="185"/>
      <c r="N125" s="185"/>
    </row>
    <row r="126" spans="1:14">
      <c r="A126" s="2440"/>
      <c r="B126" s="2449"/>
      <c r="C126" s="110">
        <v>2020</v>
      </c>
      <c r="D126" s="38"/>
      <c r="E126" s="177"/>
      <c r="F126" s="178"/>
      <c r="G126" s="178"/>
      <c r="H126" s="178"/>
      <c r="I126" s="178"/>
      <c r="J126" s="178"/>
      <c r="K126" s="178"/>
      <c r="L126" s="179"/>
      <c r="M126" s="185"/>
      <c r="N126" s="185"/>
    </row>
    <row r="127" spans="1:14" ht="15.75" thickBot="1">
      <c r="A127" s="1915"/>
      <c r="B127" s="2450"/>
      <c r="C127" s="113" t="s">
        <v>13</v>
      </c>
      <c r="D127" s="116">
        <f t="shared" ref="D127:I127" si="9">SUM(D120:D126)</f>
        <v>0</v>
      </c>
      <c r="E127" s="180">
        <f t="shared" si="9"/>
        <v>0</v>
      </c>
      <c r="F127" s="181">
        <f t="shared" si="9"/>
        <v>0</v>
      </c>
      <c r="G127" s="181">
        <f t="shared" si="9"/>
        <v>0</v>
      </c>
      <c r="H127" s="181">
        <f t="shared" si="9"/>
        <v>0</v>
      </c>
      <c r="I127" s="181">
        <f t="shared" si="9"/>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8">
      <c r="A129" s="1909" t="s">
        <v>84</v>
      </c>
      <c r="B129" s="2451" t="s">
        <v>69</v>
      </c>
      <c r="C129" s="188" t="s">
        <v>9</v>
      </c>
      <c r="D129" s="189" t="s">
        <v>85</v>
      </c>
      <c r="E129" s="190"/>
      <c r="F129" s="190"/>
      <c r="G129" s="191"/>
      <c r="H129" s="185"/>
      <c r="I129" s="185"/>
      <c r="J129" s="185"/>
      <c r="K129" s="185"/>
      <c r="L129" s="185"/>
      <c r="M129" s="185"/>
      <c r="N129" s="185"/>
    </row>
    <row r="130" spans="1:18" ht="90" customHeight="1">
      <c r="A130" s="1910"/>
      <c r="B130" s="2452"/>
      <c r="C130" s="192"/>
      <c r="D130" s="166" t="s">
        <v>86</v>
      </c>
      <c r="E130" s="193" t="s">
        <v>87</v>
      </c>
      <c r="F130" s="167" t="s">
        <v>88</v>
      </c>
      <c r="G130" s="194" t="s">
        <v>13</v>
      </c>
      <c r="H130" s="185"/>
      <c r="I130" s="185"/>
      <c r="J130" s="185"/>
      <c r="K130" s="185"/>
      <c r="L130" s="185"/>
      <c r="M130" s="185"/>
      <c r="N130" s="185"/>
    </row>
    <row r="131" spans="1:18">
      <c r="A131" s="2453" t="s">
        <v>89</v>
      </c>
      <c r="B131" s="1996"/>
      <c r="C131" s="106">
        <v>2015</v>
      </c>
      <c r="D131" s="30"/>
      <c r="E131" s="31"/>
      <c r="F131" s="31"/>
      <c r="G131" s="195">
        <f t="shared" ref="G131:G136" si="10">SUM(D131:F131)</f>
        <v>0</v>
      </c>
      <c r="H131" s="185"/>
      <c r="I131" s="185"/>
      <c r="J131" s="185"/>
      <c r="K131" s="185"/>
      <c r="L131" s="185"/>
      <c r="M131" s="185"/>
      <c r="N131" s="185"/>
    </row>
    <row r="132" spans="1:18">
      <c r="A132" s="2454"/>
      <c r="B132" s="1996"/>
      <c r="C132" s="110">
        <v>2016</v>
      </c>
      <c r="D132" s="37"/>
      <c r="E132" s="38"/>
      <c r="F132" s="38"/>
      <c r="G132" s="195">
        <f t="shared" si="10"/>
        <v>0</v>
      </c>
      <c r="H132" s="185"/>
      <c r="I132" s="185"/>
      <c r="J132" s="185"/>
      <c r="K132" s="185"/>
      <c r="L132" s="185"/>
      <c r="M132" s="185"/>
      <c r="N132" s="185"/>
    </row>
    <row r="133" spans="1:18">
      <c r="A133" s="2454"/>
      <c r="B133" s="1996"/>
      <c r="C133" s="110">
        <v>2017</v>
      </c>
      <c r="D133" s="37"/>
      <c r="E133" s="38"/>
      <c r="F133" s="38"/>
      <c r="G133" s="195">
        <f t="shared" si="10"/>
        <v>0</v>
      </c>
      <c r="H133" s="185"/>
      <c r="I133" s="185"/>
      <c r="J133" s="185"/>
      <c r="K133" s="185"/>
      <c r="L133" s="185"/>
      <c r="M133" s="185"/>
      <c r="N133" s="185"/>
    </row>
    <row r="134" spans="1:18">
      <c r="A134" s="2454"/>
      <c r="B134" s="1996"/>
      <c r="C134" s="110">
        <v>2018</v>
      </c>
      <c r="D134" s="37"/>
      <c r="E134" s="38"/>
      <c r="F134" s="38"/>
      <c r="G134" s="195">
        <f t="shared" si="10"/>
        <v>0</v>
      </c>
      <c r="H134" s="185"/>
      <c r="I134" s="185"/>
      <c r="J134" s="185"/>
      <c r="K134" s="185"/>
      <c r="L134" s="185"/>
      <c r="M134" s="185"/>
      <c r="N134" s="185"/>
    </row>
    <row r="135" spans="1:18">
      <c r="A135" s="2454"/>
      <c r="B135" s="1996"/>
      <c r="C135" s="110">
        <v>2019</v>
      </c>
      <c r="D135" s="37"/>
      <c r="E135" s="38"/>
      <c r="F135" s="38"/>
      <c r="G135" s="195">
        <f t="shared" si="10"/>
        <v>0</v>
      </c>
      <c r="H135" s="185"/>
      <c r="I135" s="185"/>
      <c r="J135" s="185"/>
      <c r="K135" s="185"/>
      <c r="L135" s="185"/>
      <c r="M135" s="185"/>
      <c r="N135" s="185"/>
    </row>
    <row r="136" spans="1:18">
      <c r="A136" s="2454"/>
      <c r="B136" s="1996"/>
      <c r="C136" s="110">
        <v>2020</v>
      </c>
      <c r="D136" s="37"/>
      <c r="E136" s="38"/>
      <c r="F136" s="38"/>
      <c r="G136" s="195">
        <f t="shared" si="10"/>
        <v>0</v>
      </c>
      <c r="H136" s="185"/>
      <c r="I136" s="185"/>
      <c r="J136" s="185"/>
      <c r="K136" s="185"/>
      <c r="L136" s="185"/>
      <c r="M136" s="185"/>
      <c r="N136" s="185"/>
    </row>
    <row r="137" spans="1:18" ht="15.75" thickBot="1">
      <c r="A137" s="2455"/>
      <c r="B137" s="1997"/>
      <c r="C137" s="113" t="s">
        <v>13</v>
      </c>
      <c r="D137" s="139">
        <f>SUM(D130:D136)</f>
        <v>0</v>
      </c>
      <c r="E137" s="116">
        <f>SUM(E130:E136)</f>
        <v>0</v>
      </c>
      <c r="F137" s="116">
        <f>SUM(F130:F136)</f>
        <v>0</v>
      </c>
      <c r="G137" s="196">
        <f>SUM(G130:G136)</f>
        <v>0</v>
      </c>
      <c r="H137" s="185"/>
      <c r="I137" s="185"/>
      <c r="J137" s="185"/>
      <c r="K137" s="185"/>
      <c r="L137" s="185"/>
      <c r="M137" s="185"/>
      <c r="N137" s="185"/>
    </row>
    <row r="138" spans="1:18">
      <c r="A138" s="183"/>
      <c r="B138" s="183"/>
      <c r="C138" s="184"/>
      <c r="D138" s="7"/>
      <c r="E138" s="7"/>
      <c r="H138" s="185"/>
      <c r="I138" s="185"/>
      <c r="J138" s="185"/>
      <c r="K138" s="185"/>
      <c r="L138" s="185"/>
      <c r="M138" s="185"/>
      <c r="N138" s="185"/>
    </row>
    <row r="139" spans="1:18">
      <c r="A139" s="197"/>
      <c r="B139" s="80"/>
      <c r="C139" s="81"/>
      <c r="D139" s="35"/>
      <c r="E139" s="35"/>
      <c r="F139" s="35"/>
      <c r="G139" s="35"/>
      <c r="H139" s="35"/>
      <c r="I139" s="198"/>
      <c r="J139" s="199"/>
      <c r="K139" s="199"/>
      <c r="L139" s="199"/>
      <c r="M139" s="199"/>
      <c r="N139" s="199"/>
      <c r="O139" s="199"/>
      <c r="P139" s="199"/>
      <c r="Q139" s="65"/>
      <c r="R139" s="65"/>
    </row>
    <row r="140" spans="1:18" ht="21">
      <c r="A140" s="200" t="s">
        <v>90</v>
      </c>
      <c r="B140" s="200"/>
      <c r="C140" s="201"/>
      <c r="D140" s="201"/>
      <c r="E140" s="201"/>
      <c r="F140" s="201"/>
      <c r="G140" s="201"/>
      <c r="H140" s="201"/>
      <c r="I140" s="201"/>
      <c r="J140" s="201"/>
      <c r="K140" s="201"/>
      <c r="L140" s="201"/>
      <c r="M140" s="201"/>
      <c r="N140" s="201"/>
      <c r="O140" s="160"/>
      <c r="P140" s="160"/>
    </row>
    <row r="141" spans="1:18" ht="15.75" thickBot="1">
      <c r="A141" s="202"/>
      <c r="B141" s="119"/>
      <c r="C141" s="141"/>
      <c r="D141" s="78"/>
      <c r="E141" s="78"/>
      <c r="F141" s="78"/>
      <c r="G141" s="78"/>
      <c r="H141" s="78"/>
      <c r="I141" s="165"/>
      <c r="J141" s="165"/>
      <c r="K141" s="165"/>
      <c r="L141" s="165"/>
      <c r="M141" s="165"/>
      <c r="N141" s="165"/>
      <c r="O141" s="165"/>
      <c r="P141" s="165"/>
    </row>
    <row r="142" spans="1:18">
      <c r="A142" s="1913" t="s">
        <v>91</v>
      </c>
      <c r="B142" s="2444" t="s">
        <v>69</v>
      </c>
      <c r="C142" s="1907" t="s">
        <v>9</v>
      </c>
      <c r="D142" s="203" t="s">
        <v>92</v>
      </c>
      <c r="E142" s="204"/>
      <c r="F142" s="204"/>
      <c r="G142" s="204"/>
      <c r="H142" s="204"/>
      <c r="I142" s="205"/>
      <c r="J142" s="1895" t="s">
        <v>93</v>
      </c>
      <c r="K142" s="1896"/>
      <c r="L142" s="1896"/>
      <c r="M142" s="1896"/>
      <c r="N142" s="1897"/>
      <c r="O142" s="165"/>
      <c r="P142" s="165"/>
    </row>
    <row r="143" spans="1:18" ht="127.5" customHeight="1">
      <c r="A143" s="1914"/>
      <c r="B143" s="2445"/>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8">
      <c r="A144" s="2447" t="s">
        <v>104</v>
      </c>
      <c r="B144" s="1984"/>
      <c r="C144" s="106">
        <v>2014</v>
      </c>
      <c r="D144" s="30"/>
      <c r="E144" s="30"/>
      <c r="F144" s="31"/>
      <c r="G144" s="175"/>
      <c r="H144" s="175"/>
      <c r="I144" s="213">
        <f>D144+F144+G144+H144</f>
        <v>0</v>
      </c>
      <c r="J144" s="214"/>
      <c r="K144" s="215"/>
      <c r="L144" s="214"/>
      <c r="M144" s="215"/>
      <c r="N144" s="216"/>
      <c r="O144" s="165"/>
      <c r="P144" s="165"/>
    </row>
    <row r="145" spans="1:16">
      <c r="A145" s="2440"/>
      <c r="B145" s="1984"/>
      <c r="C145" s="110">
        <v>2015</v>
      </c>
      <c r="D145" s="37"/>
      <c r="E145" s="37"/>
      <c r="F145" s="38"/>
      <c r="G145" s="178"/>
      <c r="H145" s="178"/>
      <c r="I145" s="213">
        <f t="shared" ref="I145:I150" si="11">D145+F145+G145+H145</f>
        <v>0</v>
      </c>
      <c r="J145" s="217"/>
      <c r="K145" s="218"/>
      <c r="L145" s="217"/>
      <c r="M145" s="218"/>
      <c r="N145" s="219"/>
      <c r="O145" s="165"/>
      <c r="P145" s="165"/>
    </row>
    <row r="146" spans="1:16">
      <c r="A146" s="2440"/>
      <c r="B146" s="1984"/>
      <c r="C146" s="110">
        <v>2016</v>
      </c>
      <c r="D146" s="37"/>
      <c r="E146" s="37"/>
      <c r="F146" s="38"/>
      <c r="G146" s="178"/>
      <c r="H146" s="178"/>
      <c r="I146" s="213">
        <f t="shared" si="11"/>
        <v>0</v>
      </c>
      <c r="J146" s="217"/>
      <c r="K146" s="218"/>
      <c r="L146" s="217"/>
      <c r="M146" s="218"/>
      <c r="N146" s="219"/>
      <c r="O146" s="165"/>
      <c r="P146" s="165"/>
    </row>
    <row r="147" spans="1:16">
      <c r="A147" s="2440"/>
      <c r="B147" s="1984"/>
      <c r="C147" s="110">
        <v>2017</v>
      </c>
      <c r="D147" s="37"/>
      <c r="E147" s="37"/>
      <c r="F147" s="38"/>
      <c r="G147" s="178"/>
      <c r="H147" s="178"/>
      <c r="I147" s="213">
        <f t="shared" si="11"/>
        <v>0</v>
      </c>
      <c r="J147" s="217"/>
      <c r="K147" s="218"/>
      <c r="L147" s="217"/>
      <c r="M147" s="218"/>
      <c r="N147" s="219"/>
      <c r="O147" s="165"/>
      <c r="P147" s="165"/>
    </row>
    <row r="148" spans="1:16">
      <c r="A148" s="2440"/>
      <c r="B148" s="1984"/>
      <c r="C148" s="110">
        <v>2018</v>
      </c>
      <c r="D148" s="37"/>
      <c r="E148" s="37"/>
      <c r="F148" s="38"/>
      <c r="G148" s="178"/>
      <c r="H148" s="178"/>
      <c r="I148" s="213">
        <f t="shared" si="11"/>
        <v>0</v>
      </c>
      <c r="J148" s="217"/>
      <c r="K148" s="218"/>
      <c r="L148" s="217"/>
      <c r="M148" s="218"/>
      <c r="N148" s="219"/>
      <c r="O148" s="165"/>
      <c r="P148" s="165"/>
    </row>
    <row r="149" spans="1:16">
      <c r="A149" s="2440"/>
      <c r="B149" s="1984"/>
      <c r="C149" s="110">
        <v>2019</v>
      </c>
      <c r="D149" s="37"/>
      <c r="E149" s="37"/>
      <c r="F149" s="38"/>
      <c r="G149" s="178"/>
      <c r="H149" s="178"/>
      <c r="I149" s="213">
        <f t="shared" si="11"/>
        <v>0</v>
      </c>
      <c r="J149" s="217"/>
      <c r="K149" s="218"/>
      <c r="L149" s="217"/>
      <c r="M149" s="218"/>
      <c r="N149" s="219"/>
      <c r="O149" s="165"/>
      <c r="P149" s="165"/>
    </row>
    <row r="150" spans="1:16">
      <c r="A150" s="2440"/>
      <c r="B150" s="1984"/>
      <c r="C150" s="110">
        <v>2020</v>
      </c>
      <c r="D150" s="37"/>
      <c r="E150" s="37"/>
      <c r="F150" s="38"/>
      <c r="G150" s="178"/>
      <c r="H150" s="178"/>
      <c r="I150" s="213">
        <f t="shared" si="11"/>
        <v>0</v>
      </c>
      <c r="J150" s="217"/>
      <c r="K150" s="218"/>
      <c r="L150" s="217"/>
      <c r="M150" s="218"/>
      <c r="N150" s="219"/>
      <c r="O150" s="165"/>
      <c r="P150" s="165"/>
    </row>
    <row r="151" spans="1:16" ht="124.5" customHeight="1" thickBot="1">
      <c r="A151" s="1893"/>
      <c r="B151" s="1985"/>
      <c r="C151" s="113" t="s">
        <v>13</v>
      </c>
      <c r="D151" s="139">
        <f t="shared" ref="D151:N151" si="12">SUM(D144:D150)</f>
        <v>0</v>
      </c>
      <c r="E151" s="139">
        <f t="shared" si="12"/>
        <v>0</v>
      </c>
      <c r="F151" s="139">
        <f t="shared" si="12"/>
        <v>0</v>
      </c>
      <c r="G151" s="139">
        <f t="shared" si="12"/>
        <v>0</v>
      </c>
      <c r="H151" s="139">
        <f t="shared" si="12"/>
        <v>0</v>
      </c>
      <c r="I151" s="220">
        <f t="shared" si="12"/>
        <v>0</v>
      </c>
      <c r="J151" s="221">
        <f t="shared" si="12"/>
        <v>0</v>
      </c>
      <c r="K151" s="222">
        <f t="shared" si="12"/>
        <v>0</v>
      </c>
      <c r="L151" s="221">
        <f t="shared" si="12"/>
        <v>0</v>
      </c>
      <c r="M151" s="222">
        <f t="shared" si="12"/>
        <v>0</v>
      </c>
      <c r="N151" s="223">
        <f t="shared" si="12"/>
        <v>0</v>
      </c>
      <c r="O151" s="165"/>
      <c r="P151" s="165"/>
    </row>
    <row r="152" spans="1:16" ht="15.75" thickBot="1">
      <c r="B152" s="224"/>
      <c r="O152" s="165"/>
      <c r="P152" s="165"/>
    </row>
    <row r="153" spans="1:16" ht="26.25">
      <c r="A153" s="1901" t="s">
        <v>105</v>
      </c>
      <c r="B153" s="2444" t="s">
        <v>69</v>
      </c>
      <c r="C153" s="1905" t="s">
        <v>9</v>
      </c>
      <c r="D153" s="225" t="s">
        <v>106</v>
      </c>
      <c r="E153" s="225"/>
      <c r="F153" s="226"/>
      <c r="G153" s="226"/>
      <c r="H153" s="225" t="s">
        <v>107</v>
      </c>
      <c r="I153" s="225"/>
      <c r="J153" s="227"/>
      <c r="K153" s="56"/>
      <c r="L153" s="56"/>
      <c r="M153" s="56"/>
      <c r="N153" s="56"/>
      <c r="O153" s="165"/>
      <c r="P153" s="165"/>
    </row>
    <row r="154" spans="1:16" ht="63.75" customHeight="1">
      <c r="A154" s="2446"/>
      <c r="B154" s="2445"/>
      <c r="C154" s="1906"/>
      <c r="D154" s="228" t="s">
        <v>108</v>
      </c>
      <c r="E154" s="229" t="s">
        <v>109</v>
      </c>
      <c r="F154" s="230" t="s">
        <v>110</v>
      </c>
      <c r="G154" s="231" t="s">
        <v>111</v>
      </c>
      <c r="H154" s="228" t="s">
        <v>112</v>
      </c>
      <c r="I154" s="229" t="s">
        <v>113</v>
      </c>
      <c r="J154" s="232" t="s">
        <v>103</v>
      </c>
      <c r="K154" s="56"/>
      <c r="L154" s="56"/>
      <c r="M154" s="56"/>
      <c r="N154" s="56"/>
      <c r="O154" s="165"/>
      <c r="P154" s="165"/>
    </row>
    <row r="155" spans="1:16">
      <c r="A155" s="2447" t="s">
        <v>114</v>
      </c>
      <c r="B155" s="1984"/>
      <c r="C155" s="233">
        <v>2014</v>
      </c>
      <c r="D155" s="214"/>
      <c r="E155" s="175"/>
      <c r="F155" s="215"/>
      <c r="G155" s="213">
        <f>SUM(D155:F155)</f>
        <v>0</v>
      </c>
      <c r="H155" s="214"/>
      <c r="I155" s="175"/>
      <c r="J155" s="176"/>
      <c r="O155" s="165"/>
      <c r="P155" s="165"/>
    </row>
    <row r="156" spans="1:16">
      <c r="A156" s="2440"/>
      <c r="B156" s="1984"/>
      <c r="C156" s="234">
        <v>2015</v>
      </c>
      <c r="D156" s="217"/>
      <c r="E156" s="178"/>
      <c r="F156" s="218"/>
      <c r="G156" s="213">
        <f t="shared" ref="G156:G161" si="13">SUM(D156:F156)</f>
        <v>0</v>
      </c>
      <c r="H156" s="217"/>
      <c r="I156" s="178"/>
      <c r="J156" s="179"/>
      <c r="O156" s="165"/>
      <c r="P156" s="165"/>
    </row>
    <row r="157" spans="1:16">
      <c r="A157" s="2440"/>
      <c r="B157" s="1984"/>
      <c r="C157" s="234">
        <v>2016</v>
      </c>
      <c r="D157" s="217"/>
      <c r="E157" s="178"/>
      <c r="F157" s="218"/>
      <c r="G157" s="213">
        <f t="shared" si="13"/>
        <v>0</v>
      </c>
      <c r="H157" s="217"/>
      <c r="I157" s="178"/>
      <c r="J157" s="179"/>
      <c r="O157" s="165"/>
      <c r="P157" s="165"/>
    </row>
    <row r="158" spans="1:16">
      <c r="A158" s="2440"/>
      <c r="B158" s="1984"/>
      <c r="C158" s="234">
        <v>2017</v>
      </c>
      <c r="D158" s="217"/>
      <c r="E158" s="178"/>
      <c r="F158" s="218"/>
      <c r="G158" s="213">
        <f t="shared" si="13"/>
        <v>0</v>
      </c>
      <c r="H158" s="217"/>
      <c r="I158" s="178"/>
      <c r="J158" s="179"/>
      <c r="O158" s="165"/>
      <c r="P158" s="165"/>
    </row>
    <row r="159" spans="1:16">
      <c r="A159" s="2440"/>
      <c r="B159" s="1984"/>
      <c r="C159" s="234">
        <v>2018</v>
      </c>
      <c r="D159" s="217"/>
      <c r="E159" s="178"/>
      <c r="F159" s="218"/>
      <c r="G159" s="213">
        <f t="shared" si="13"/>
        <v>0</v>
      </c>
      <c r="H159" s="217"/>
      <c r="I159" s="178"/>
      <c r="J159" s="179"/>
      <c r="O159" s="165"/>
      <c r="P159" s="165"/>
    </row>
    <row r="160" spans="1:16">
      <c r="A160" s="2440"/>
      <c r="B160" s="1984"/>
      <c r="C160" s="234">
        <v>2019</v>
      </c>
      <c r="D160" s="217"/>
      <c r="E160" s="178"/>
      <c r="F160" s="218"/>
      <c r="G160" s="213">
        <f t="shared" si="13"/>
        <v>0</v>
      </c>
      <c r="H160" s="217"/>
      <c r="I160" s="178"/>
      <c r="J160" s="179"/>
      <c r="O160" s="165"/>
      <c r="P160" s="165"/>
    </row>
    <row r="161" spans="1:18">
      <c r="A161" s="2440"/>
      <c r="B161" s="1984"/>
      <c r="C161" s="234">
        <v>2020</v>
      </c>
      <c r="D161" s="217"/>
      <c r="E161" s="178"/>
      <c r="F161" s="218"/>
      <c r="G161" s="213">
        <f t="shared" si="13"/>
        <v>0</v>
      </c>
      <c r="H161" s="217"/>
      <c r="I161" s="178"/>
      <c r="J161" s="179"/>
      <c r="O161" s="165"/>
      <c r="P161" s="165"/>
    </row>
    <row r="162" spans="1:18" ht="15.75" thickBot="1">
      <c r="A162" s="1893"/>
      <c r="B162" s="1985"/>
      <c r="C162" s="235" t="s">
        <v>13</v>
      </c>
      <c r="D162" s="221">
        <f t="shared" ref="D162:J162" si="14">SUM(D155:D161)</f>
        <v>0</v>
      </c>
      <c r="E162" s="181">
        <f t="shared" si="14"/>
        <v>0</v>
      </c>
      <c r="F162" s="222">
        <f t="shared" si="14"/>
        <v>0</v>
      </c>
      <c r="G162" s="222">
        <f t="shared" si="14"/>
        <v>0</v>
      </c>
      <c r="H162" s="221">
        <f t="shared" si="14"/>
        <v>0</v>
      </c>
      <c r="I162" s="181">
        <f t="shared" si="14"/>
        <v>0</v>
      </c>
      <c r="J162" s="236">
        <f t="shared" si="14"/>
        <v>0</v>
      </c>
    </row>
    <row r="163" spans="1:18" ht="15.75" thickBot="1">
      <c r="A163" s="237"/>
      <c r="B163" s="238"/>
      <c r="C163" s="239"/>
      <c r="D163" s="165"/>
      <c r="E163" s="240"/>
      <c r="F163" s="165"/>
      <c r="G163" s="165"/>
      <c r="H163" s="165"/>
      <c r="I163" s="165"/>
      <c r="J163" s="241"/>
      <c r="K163" s="242"/>
    </row>
    <row r="164" spans="1:18" ht="120" customHeight="1">
      <c r="A164" s="243" t="s">
        <v>115</v>
      </c>
      <c r="B164" s="244" t="s">
        <v>116</v>
      </c>
      <c r="C164" s="245" t="s">
        <v>9</v>
      </c>
      <c r="D164" s="246" t="s">
        <v>117</v>
      </c>
      <c r="E164" s="246" t="s">
        <v>118</v>
      </c>
      <c r="F164" s="247" t="s">
        <v>119</v>
      </c>
      <c r="G164" s="246" t="s">
        <v>120</v>
      </c>
      <c r="H164" s="246" t="s">
        <v>121</v>
      </c>
      <c r="I164" s="248" t="s">
        <v>122</v>
      </c>
      <c r="J164" s="249" t="s">
        <v>123</v>
      </c>
      <c r="K164" s="249" t="s">
        <v>124</v>
      </c>
      <c r="L164" s="250"/>
    </row>
    <row r="165" spans="1:18">
      <c r="A165" s="2441" t="s">
        <v>125</v>
      </c>
      <c r="B165" s="1986"/>
      <c r="C165" s="251">
        <v>2014</v>
      </c>
      <c r="D165" s="175"/>
      <c r="E165" s="175"/>
      <c r="F165" s="175"/>
      <c r="G165" s="175"/>
      <c r="H165" s="175"/>
      <c r="I165" s="176"/>
      <c r="J165" s="252">
        <v>0</v>
      </c>
      <c r="K165" s="253">
        <v>0</v>
      </c>
      <c r="L165" s="250"/>
    </row>
    <row r="166" spans="1:18">
      <c r="A166" s="2442"/>
      <c r="B166" s="1984"/>
      <c r="C166" s="254">
        <v>2015</v>
      </c>
      <c r="D166" s="255"/>
      <c r="E166" s="255"/>
      <c r="F166" s="255"/>
      <c r="G166" s="255"/>
      <c r="H166" s="255"/>
      <c r="I166" s="256"/>
      <c r="J166" s="257">
        <v>0</v>
      </c>
      <c r="K166" s="258">
        <v>0</v>
      </c>
      <c r="L166" s="250"/>
    </row>
    <row r="167" spans="1:18">
      <c r="A167" s="2442"/>
      <c r="B167" s="1984"/>
      <c r="C167" s="254">
        <v>2016</v>
      </c>
      <c r="D167" s="255"/>
      <c r="E167" s="255"/>
      <c r="F167" s="255"/>
      <c r="G167" s="255"/>
      <c r="H167" s="255"/>
      <c r="I167" s="256"/>
      <c r="J167" s="259">
        <v>0</v>
      </c>
      <c r="K167" s="260">
        <v>0</v>
      </c>
    </row>
    <row r="168" spans="1:18">
      <c r="A168" s="2442"/>
      <c r="B168" s="1984"/>
      <c r="C168" s="254">
        <v>2017</v>
      </c>
      <c r="D168" s="255"/>
      <c r="E168" s="165"/>
      <c r="F168" s="255"/>
      <c r="G168" s="255"/>
      <c r="H168" s="255"/>
      <c r="I168" s="256"/>
      <c r="J168" s="261">
        <v>0</v>
      </c>
      <c r="K168" s="260">
        <v>0</v>
      </c>
    </row>
    <row r="169" spans="1:18">
      <c r="A169" s="2442"/>
      <c r="B169" s="1984"/>
      <c r="C169" s="262">
        <v>2018</v>
      </c>
      <c r="D169" s="255"/>
      <c r="E169" s="255"/>
      <c r="F169" s="255"/>
      <c r="G169" s="263"/>
      <c r="H169" s="255"/>
      <c r="I169" s="256"/>
      <c r="J169" s="261">
        <v>0</v>
      </c>
      <c r="K169" s="260">
        <v>0</v>
      </c>
      <c r="L169" s="250"/>
    </row>
    <row r="170" spans="1:18">
      <c r="A170" s="2442"/>
      <c r="B170" s="1984"/>
      <c r="C170" s="254">
        <v>2019</v>
      </c>
      <c r="D170" s="165"/>
      <c r="E170" s="255"/>
      <c r="F170" s="255"/>
      <c r="G170" s="255"/>
      <c r="H170" s="263"/>
      <c r="I170" s="256"/>
      <c r="J170" s="257">
        <v>0</v>
      </c>
      <c r="K170" s="264">
        <v>0</v>
      </c>
      <c r="L170" s="250"/>
    </row>
    <row r="171" spans="1:18">
      <c r="A171" s="2442"/>
      <c r="B171" s="1984"/>
      <c r="C171" s="262">
        <v>2020</v>
      </c>
      <c r="D171" s="255"/>
      <c r="E171" s="255"/>
      <c r="F171" s="255"/>
      <c r="G171" s="255"/>
      <c r="H171" s="255"/>
      <c r="I171" s="256"/>
      <c r="J171" s="259">
        <v>0</v>
      </c>
      <c r="K171" s="264">
        <v>0</v>
      </c>
      <c r="L171" s="250"/>
    </row>
    <row r="172" spans="1:18" ht="15.75" thickBot="1">
      <c r="A172" s="2443"/>
      <c r="B172" s="1985"/>
      <c r="C172" s="265" t="s">
        <v>13</v>
      </c>
      <c r="D172" s="181"/>
      <c r="E172" s="181">
        <v>0</v>
      </c>
      <c r="F172" s="181"/>
      <c r="G172" s="266">
        <v>0</v>
      </c>
      <c r="H172" s="181"/>
      <c r="I172" s="182">
        <v>0</v>
      </c>
      <c r="J172" s="267">
        <v>0</v>
      </c>
      <c r="K172" s="268">
        <v>0</v>
      </c>
      <c r="L172" s="250"/>
    </row>
    <row r="173" spans="1:18">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ht="15.75" thickBot="1">
      <c r="A176" s="1884" t="s">
        <v>127</v>
      </c>
      <c r="B176" s="2438" t="s">
        <v>48</v>
      </c>
      <c r="C176" s="1886" t="s">
        <v>9</v>
      </c>
      <c r="D176" s="273" t="s">
        <v>128</v>
      </c>
      <c r="E176" s="274"/>
      <c r="F176" s="274"/>
      <c r="G176" s="275"/>
      <c r="H176" s="276"/>
      <c r="I176" s="1888" t="s">
        <v>129</v>
      </c>
      <c r="J176" s="1889"/>
      <c r="K176" s="1889"/>
      <c r="L176" s="1889"/>
      <c r="M176" s="1889"/>
      <c r="N176" s="1889"/>
      <c r="O176" s="1890"/>
      <c r="P176" s="56"/>
      <c r="Q176" s="56"/>
      <c r="R176" s="56"/>
    </row>
    <row r="177" spans="1:19" ht="135" customHeight="1">
      <c r="A177" s="1885"/>
      <c r="B177" s="2439"/>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c r="P177" s="56"/>
      <c r="Q177" s="56"/>
      <c r="R177" s="56"/>
    </row>
    <row r="178" spans="1:19">
      <c r="A178" s="2440" t="s">
        <v>135</v>
      </c>
      <c r="B178" s="1984"/>
      <c r="C178" s="106">
        <v>2014</v>
      </c>
      <c r="D178" s="30"/>
      <c r="E178" s="31"/>
      <c r="F178" s="31"/>
      <c r="G178" s="284">
        <f t="shared" ref="G178:G184" si="15">SUM(D178:E178)</f>
        <v>0</v>
      </c>
      <c r="H178" s="132"/>
      <c r="I178" s="155"/>
      <c r="J178" s="31"/>
      <c r="K178" s="31"/>
      <c r="L178" s="31"/>
      <c r="M178" s="31"/>
      <c r="N178" s="31"/>
      <c r="O178" s="34"/>
    </row>
    <row r="179" spans="1:19">
      <c r="A179" s="2440"/>
      <c r="B179" s="1984"/>
      <c r="C179" s="110">
        <v>2015</v>
      </c>
      <c r="D179" s="37"/>
      <c r="E179" s="38"/>
      <c r="F179" s="38"/>
      <c r="G179" s="284">
        <f t="shared" si="15"/>
        <v>0</v>
      </c>
      <c r="H179" s="132"/>
      <c r="I179" s="112"/>
      <c r="J179" s="38"/>
      <c r="K179" s="38"/>
      <c r="L179" s="38"/>
      <c r="M179" s="38"/>
      <c r="N179" s="38"/>
      <c r="O179" s="88"/>
    </row>
    <row r="180" spans="1:19" ht="15" customHeight="1">
      <c r="A180" s="2440"/>
      <c r="B180" s="1984"/>
      <c r="C180" s="110">
        <v>2016</v>
      </c>
      <c r="D180" s="37">
        <v>604</v>
      </c>
      <c r="E180" s="38"/>
      <c r="F180" s="38"/>
      <c r="G180" s="284">
        <f t="shared" si="15"/>
        <v>604</v>
      </c>
      <c r="H180" s="132">
        <v>604</v>
      </c>
      <c r="I180" s="112"/>
      <c r="J180" s="38"/>
      <c r="K180" s="38"/>
      <c r="L180" s="38"/>
      <c r="M180" s="38"/>
      <c r="N180" s="38"/>
      <c r="O180" s="88">
        <v>604</v>
      </c>
      <c r="P180" s="2436" t="s">
        <v>136</v>
      </c>
      <c r="Q180" s="2437"/>
      <c r="R180" s="2437"/>
      <c r="S180" s="2437"/>
    </row>
    <row r="181" spans="1:19">
      <c r="A181" s="2440"/>
      <c r="B181" s="1984"/>
      <c r="C181" s="110">
        <v>2017</v>
      </c>
      <c r="D181" s="37">
        <v>228</v>
      </c>
      <c r="E181" s="38"/>
      <c r="F181" s="38"/>
      <c r="G181" s="284">
        <f t="shared" si="15"/>
        <v>228</v>
      </c>
      <c r="H181" s="132">
        <v>228</v>
      </c>
      <c r="I181" s="112"/>
      <c r="J181" s="38"/>
      <c r="K181" s="38"/>
      <c r="L181" s="38"/>
      <c r="M181" s="38"/>
      <c r="N181" s="38"/>
      <c r="O181" s="88">
        <v>228</v>
      </c>
      <c r="P181" s="2436"/>
      <c r="Q181" s="2437"/>
      <c r="R181" s="2437"/>
      <c r="S181" s="2437"/>
    </row>
    <row r="182" spans="1:19">
      <c r="A182" s="2440"/>
      <c r="B182" s="1984"/>
      <c r="C182" s="110">
        <v>2018</v>
      </c>
      <c r="D182" s="37"/>
      <c r="E182" s="38"/>
      <c r="F182" s="38"/>
      <c r="G182" s="284">
        <f t="shared" si="15"/>
        <v>0</v>
      </c>
      <c r="H182" s="132"/>
      <c r="I182" s="112"/>
      <c r="J182" s="38"/>
      <c r="K182" s="38"/>
      <c r="L182" s="38"/>
      <c r="M182" s="38"/>
      <c r="N182" s="38"/>
      <c r="O182" s="88"/>
      <c r="P182" s="2436"/>
      <c r="Q182" s="2437"/>
      <c r="R182" s="2437"/>
      <c r="S182" s="2437"/>
    </row>
    <row r="183" spans="1:19">
      <c r="A183" s="2440"/>
      <c r="B183" s="1984"/>
      <c r="C183" s="110">
        <v>2019</v>
      </c>
      <c r="D183" s="37"/>
      <c r="E183" s="38"/>
      <c r="F183" s="38"/>
      <c r="G183" s="284">
        <f t="shared" si="15"/>
        <v>0</v>
      </c>
      <c r="H183" s="132"/>
      <c r="I183" s="112"/>
      <c r="J183" s="38"/>
      <c r="K183" s="38"/>
      <c r="L183" s="38"/>
      <c r="M183" s="38"/>
      <c r="N183" s="38"/>
      <c r="O183" s="88"/>
    </row>
    <row r="184" spans="1:19">
      <c r="A184" s="2440"/>
      <c r="B184" s="1984"/>
      <c r="C184" s="110">
        <v>2020</v>
      </c>
      <c r="D184" s="37"/>
      <c r="E184" s="38"/>
      <c r="F184" s="38"/>
      <c r="G184" s="284">
        <f t="shared" si="15"/>
        <v>0</v>
      </c>
      <c r="H184" s="132"/>
      <c r="I184" s="112"/>
      <c r="J184" s="38"/>
      <c r="K184" s="38"/>
      <c r="L184" s="38"/>
      <c r="M184" s="38"/>
      <c r="N184" s="38"/>
      <c r="O184" s="88"/>
    </row>
    <row r="185" spans="1:19" ht="87.75" customHeight="1" thickBot="1">
      <c r="A185" s="1893"/>
      <c r="B185" s="1985"/>
      <c r="C185" s="113" t="s">
        <v>13</v>
      </c>
      <c r="D185" s="139">
        <f>SUM(D178:D184)</f>
        <v>832</v>
      </c>
      <c r="E185" s="116">
        <f>SUM(E178:E184)</f>
        <v>0</v>
      </c>
      <c r="F185" s="116">
        <f>SUM(F178:F184)</f>
        <v>0</v>
      </c>
      <c r="G185" s="220">
        <f t="shared" ref="G185:O185" si="16">SUM(G178:G184)</f>
        <v>832</v>
      </c>
      <c r="H185" s="285">
        <f t="shared" si="16"/>
        <v>832</v>
      </c>
      <c r="I185" s="115">
        <f t="shared" si="16"/>
        <v>0</v>
      </c>
      <c r="J185" s="116">
        <f t="shared" si="16"/>
        <v>0</v>
      </c>
      <c r="K185" s="116">
        <f t="shared" si="16"/>
        <v>0</v>
      </c>
      <c r="L185" s="116">
        <f t="shared" si="16"/>
        <v>0</v>
      </c>
      <c r="M185" s="116">
        <f t="shared" si="16"/>
        <v>0</v>
      </c>
      <c r="N185" s="116">
        <f t="shared" si="16"/>
        <v>0</v>
      </c>
      <c r="O185" s="117">
        <f t="shared" si="16"/>
        <v>832</v>
      </c>
    </row>
    <row r="186" spans="1:19" ht="15.75" thickBot="1"/>
    <row r="187" spans="1:19">
      <c r="A187" s="1861" t="s">
        <v>137</v>
      </c>
      <c r="B187" s="2438" t="s">
        <v>48</v>
      </c>
      <c r="C187" s="1865" t="s">
        <v>9</v>
      </c>
      <c r="D187" s="1867" t="s">
        <v>138</v>
      </c>
      <c r="E187" s="1868"/>
      <c r="F187" s="1868"/>
      <c r="G187" s="1869"/>
      <c r="H187" s="1870" t="s">
        <v>139</v>
      </c>
      <c r="I187" s="1865"/>
      <c r="J187" s="1865"/>
      <c r="K187" s="1865"/>
      <c r="L187" s="1871"/>
    </row>
    <row r="188" spans="1:19" ht="123.75" customHeight="1">
      <c r="A188" s="1862"/>
      <c r="B188" s="2439"/>
      <c r="C188" s="1866"/>
      <c r="D188" s="286" t="s">
        <v>140</v>
      </c>
      <c r="E188" s="286" t="s">
        <v>141</v>
      </c>
      <c r="F188" s="286" t="s">
        <v>142</v>
      </c>
      <c r="G188" s="287" t="s">
        <v>13</v>
      </c>
      <c r="H188" s="288" t="s">
        <v>143</v>
      </c>
      <c r="I188" s="286" t="s">
        <v>144</v>
      </c>
      <c r="J188" s="286" t="s">
        <v>145</v>
      </c>
      <c r="K188" s="286" t="s">
        <v>146</v>
      </c>
      <c r="L188" s="289" t="s">
        <v>147</v>
      </c>
    </row>
    <row r="189" spans="1:19">
      <c r="A189" s="2434" t="s">
        <v>148</v>
      </c>
      <c r="B189" s="1974"/>
      <c r="C189" s="290">
        <v>2014</v>
      </c>
      <c r="D189" s="133"/>
      <c r="E189" s="109"/>
      <c r="F189" s="109"/>
      <c r="G189" s="291">
        <f>SUM(D189:F189)</f>
        <v>0</v>
      </c>
      <c r="H189" s="108"/>
      <c r="I189" s="109"/>
      <c r="J189" s="109"/>
      <c r="K189" s="109"/>
      <c r="L189" s="134"/>
    </row>
    <row r="190" spans="1:19">
      <c r="A190" s="2434"/>
      <c r="B190" s="1974"/>
      <c r="C190" s="73">
        <v>2015</v>
      </c>
      <c r="D190" s="37"/>
      <c r="E190" s="38"/>
      <c r="F190" s="38"/>
      <c r="G190" s="291">
        <f t="shared" ref="G190:G195" si="17">SUM(D190:F190)</f>
        <v>0</v>
      </c>
      <c r="H190" s="112"/>
      <c r="I190" s="38"/>
      <c r="J190" s="38"/>
      <c r="K190" s="38"/>
      <c r="L190" s="88"/>
    </row>
    <row r="191" spans="1:19">
      <c r="A191" s="2434"/>
      <c r="B191" s="1974"/>
      <c r="C191" s="73">
        <v>2016</v>
      </c>
      <c r="D191" s="37">
        <v>17902</v>
      </c>
      <c r="E191" s="38"/>
      <c r="F191" s="38"/>
      <c r="G191" s="291">
        <f t="shared" si="17"/>
        <v>17902</v>
      </c>
      <c r="H191" s="112"/>
      <c r="I191" s="38"/>
      <c r="J191" s="38">
        <v>6000</v>
      </c>
      <c r="K191" s="38"/>
      <c r="L191" s="88">
        <f>G191-J191</f>
        <v>11902</v>
      </c>
    </row>
    <row r="192" spans="1:19">
      <c r="A192" s="2434"/>
      <c r="B192" s="1974"/>
      <c r="C192" s="73">
        <v>2017</v>
      </c>
      <c r="D192" s="37">
        <v>8204</v>
      </c>
      <c r="E192" s="38"/>
      <c r="F192" s="38"/>
      <c r="G192" s="291">
        <f t="shared" si="17"/>
        <v>8204</v>
      </c>
      <c r="H192" s="112"/>
      <c r="I192" s="38"/>
      <c r="J192" s="38">
        <v>4100</v>
      </c>
      <c r="K192" s="38"/>
      <c r="L192" s="88">
        <f>G192-J192</f>
        <v>4104</v>
      </c>
    </row>
    <row r="193" spans="1:18">
      <c r="A193" s="2434"/>
      <c r="B193" s="1974"/>
      <c r="C193" s="73">
        <v>2018</v>
      </c>
      <c r="D193" s="37"/>
      <c r="E193" s="38"/>
      <c r="F193" s="38"/>
      <c r="G193" s="291">
        <f t="shared" si="17"/>
        <v>0</v>
      </c>
      <c r="H193" s="112"/>
      <c r="I193" s="38"/>
      <c r="J193" s="38"/>
      <c r="K193" s="38"/>
      <c r="L193" s="88"/>
    </row>
    <row r="194" spans="1:18">
      <c r="A194" s="2434"/>
      <c r="B194" s="1974"/>
      <c r="C194" s="73">
        <v>2019</v>
      </c>
      <c r="D194" s="37"/>
      <c r="E194" s="38"/>
      <c r="F194" s="38"/>
      <c r="G194" s="291">
        <f t="shared" si="17"/>
        <v>0</v>
      </c>
      <c r="H194" s="112"/>
      <c r="I194" s="38"/>
      <c r="J194" s="38"/>
      <c r="K194" s="38"/>
      <c r="L194" s="88"/>
    </row>
    <row r="195" spans="1:18">
      <c r="A195" s="2434"/>
      <c r="B195" s="1974"/>
      <c r="C195" s="73">
        <v>2020</v>
      </c>
      <c r="D195" s="37"/>
      <c r="E195" s="38"/>
      <c r="F195" s="38"/>
      <c r="G195" s="291">
        <f t="shared" si="17"/>
        <v>0</v>
      </c>
      <c r="H195" s="112"/>
      <c r="I195" s="38"/>
      <c r="J195" s="38"/>
      <c r="K195" s="38"/>
      <c r="L195" s="88"/>
    </row>
    <row r="196" spans="1:18" ht="15.75" thickBot="1">
      <c r="A196" s="1979"/>
      <c r="B196" s="1975"/>
      <c r="C196" s="136" t="s">
        <v>13</v>
      </c>
      <c r="D196" s="139">
        <f t="shared" ref="D196:L196" si="18">SUM(D189:D195)</f>
        <v>26106</v>
      </c>
      <c r="E196" s="116">
        <f t="shared" si="18"/>
        <v>0</v>
      </c>
      <c r="F196" s="116">
        <f t="shared" si="18"/>
        <v>0</v>
      </c>
      <c r="G196" s="292">
        <f t="shared" si="18"/>
        <v>26106</v>
      </c>
      <c r="H196" s="115">
        <f t="shared" si="18"/>
        <v>0</v>
      </c>
      <c r="I196" s="116">
        <f t="shared" si="18"/>
        <v>0</v>
      </c>
      <c r="J196" s="116">
        <f t="shared" si="18"/>
        <v>10100</v>
      </c>
      <c r="K196" s="116">
        <f t="shared" si="18"/>
        <v>0</v>
      </c>
      <c r="L196" s="117">
        <f t="shared" si="18"/>
        <v>16006</v>
      </c>
    </row>
    <row r="199" spans="1:18" ht="21">
      <c r="A199" s="293" t="s">
        <v>149</v>
      </c>
      <c r="B199" s="293"/>
      <c r="C199" s="294"/>
      <c r="D199" s="294"/>
      <c r="E199" s="294"/>
      <c r="F199" s="294"/>
      <c r="G199" s="294"/>
      <c r="H199" s="294"/>
      <c r="I199" s="294"/>
      <c r="J199" s="294"/>
      <c r="K199" s="294"/>
      <c r="L199" s="294"/>
      <c r="M199" s="65"/>
      <c r="N199" s="65"/>
    </row>
    <row r="200" spans="1:18" ht="15.75" thickBot="1">
      <c r="A200" s="295"/>
      <c r="B200" s="295"/>
      <c r="C200" s="294"/>
      <c r="D200" s="294"/>
      <c r="E200" s="294"/>
      <c r="F200" s="294"/>
      <c r="G200" s="294"/>
      <c r="H200" s="294"/>
      <c r="I200" s="294"/>
      <c r="J200" s="294"/>
      <c r="K200" s="294"/>
      <c r="L200" s="294"/>
    </row>
    <row r="201" spans="1:18" ht="154.5" customHeight="1">
      <c r="A201" s="296" t="s">
        <v>150</v>
      </c>
      <c r="B201" s="297" t="s">
        <v>48</v>
      </c>
      <c r="C201" s="298" t="s">
        <v>9</v>
      </c>
      <c r="D201" s="299" t="s">
        <v>151</v>
      </c>
      <c r="E201" s="300" t="s">
        <v>152</v>
      </c>
      <c r="F201" s="300" t="s">
        <v>153</v>
      </c>
      <c r="G201" s="298" t="s">
        <v>154</v>
      </c>
      <c r="H201" s="301" t="s">
        <v>155</v>
      </c>
      <c r="I201" s="302" t="s">
        <v>156</v>
      </c>
      <c r="J201" s="303" t="s">
        <v>157</v>
      </c>
      <c r="K201" s="300" t="s">
        <v>158</v>
      </c>
      <c r="L201" s="304" t="s">
        <v>159</v>
      </c>
      <c r="M201" s="56"/>
      <c r="N201" s="56"/>
      <c r="O201" s="56"/>
      <c r="P201" s="56"/>
      <c r="Q201" s="56"/>
      <c r="R201" s="56"/>
    </row>
    <row r="202" spans="1:18">
      <c r="A202" s="2435" t="s">
        <v>160</v>
      </c>
      <c r="B202" s="1973"/>
      <c r="C202" s="72">
        <v>2014</v>
      </c>
      <c r="D202" s="30"/>
      <c r="E202" s="31"/>
      <c r="F202" s="31"/>
      <c r="G202" s="29"/>
      <c r="H202" s="305"/>
      <c r="I202" s="306"/>
      <c r="J202" s="307"/>
      <c r="K202" s="31"/>
      <c r="L202" s="34"/>
    </row>
    <row r="203" spans="1:18">
      <c r="A203" s="2435"/>
      <c r="B203" s="1974"/>
      <c r="C203" s="73">
        <v>2015</v>
      </c>
      <c r="D203" s="37"/>
      <c r="E203" s="38"/>
      <c r="F203" s="38"/>
      <c r="G203" s="36"/>
      <c r="H203" s="308"/>
      <c r="I203" s="309"/>
      <c r="J203" s="310"/>
      <c r="K203" s="38"/>
      <c r="L203" s="88"/>
    </row>
    <row r="204" spans="1:18">
      <c r="A204" s="2435"/>
      <c r="B204" s="1974"/>
      <c r="C204" s="73">
        <v>2016</v>
      </c>
      <c r="D204" s="37"/>
      <c r="E204" s="38"/>
      <c r="F204" s="38"/>
      <c r="G204" s="36"/>
      <c r="H204" s="308"/>
      <c r="I204" s="309"/>
      <c r="J204" s="310"/>
      <c r="K204" s="38"/>
      <c r="L204" s="88"/>
    </row>
    <row r="205" spans="1:18">
      <c r="A205" s="2435"/>
      <c r="B205" s="1974"/>
      <c r="C205" s="73">
        <v>2017</v>
      </c>
      <c r="D205" s="37"/>
      <c r="E205" s="38"/>
      <c r="F205" s="38"/>
      <c r="G205" s="36"/>
      <c r="H205" s="308"/>
      <c r="I205" s="309"/>
      <c r="J205" s="310"/>
      <c r="K205" s="38"/>
      <c r="L205" s="88"/>
    </row>
    <row r="206" spans="1:18">
      <c r="A206" s="2435"/>
      <c r="B206" s="1974"/>
      <c r="C206" s="73">
        <v>2018</v>
      </c>
      <c r="D206" s="37"/>
      <c r="E206" s="38"/>
      <c r="F206" s="38"/>
      <c r="G206" s="36"/>
      <c r="H206" s="308"/>
      <c r="I206" s="309"/>
      <c r="J206" s="310"/>
      <c r="K206" s="38"/>
      <c r="L206" s="88"/>
    </row>
    <row r="207" spans="1:18">
      <c r="A207" s="2435"/>
      <c r="B207" s="1974"/>
      <c r="C207" s="73">
        <v>2019</v>
      </c>
      <c r="D207" s="37"/>
      <c r="E207" s="38"/>
      <c r="F207" s="38"/>
      <c r="G207" s="36"/>
      <c r="H207" s="308"/>
      <c r="I207" s="309"/>
      <c r="J207" s="310"/>
      <c r="K207" s="38"/>
      <c r="L207" s="88"/>
    </row>
    <row r="208" spans="1:18">
      <c r="A208" s="2435"/>
      <c r="B208" s="1974"/>
      <c r="C208" s="73">
        <v>2020</v>
      </c>
      <c r="D208" s="311"/>
      <c r="E208" s="312"/>
      <c r="F208" s="312"/>
      <c r="G208" s="313"/>
      <c r="H208" s="314"/>
      <c r="I208" s="315"/>
      <c r="J208" s="316"/>
      <c r="K208" s="312"/>
      <c r="L208" s="317"/>
    </row>
    <row r="209" spans="1:21" ht="72" customHeight="1" thickBot="1">
      <c r="A209" s="1856"/>
      <c r="B209" s="1975"/>
      <c r="C209" s="136" t="s">
        <v>13</v>
      </c>
      <c r="D209" s="139">
        <f>SUM(D202:D207)</f>
        <v>0</v>
      </c>
      <c r="E209" s="116">
        <f>SUM(E202:E207)</f>
        <v>0</v>
      </c>
      <c r="F209" s="116"/>
      <c r="G209" s="220"/>
      <c r="H209" s="318">
        <f>SUM(H202:H207)</f>
        <v>0</v>
      </c>
      <c r="I209" s="319">
        <f>SUM(I202:I207)</f>
        <v>0</v>
      </c>
      <c r="J209" s="320"/>
      <c r="K209" s="116"/>
      <c r="L209" s="117">
        <f>SUM(L202:L207)</f>
        <v>0</v>
      </c>
    </row>
    <row r="211" spans="1:21" ht="15.75" thickBot="1"/>
    <row r="212" spans="1:21" ht="47.25" customHeight="1">
      <c r="A212" s="321" t="s">
        <v>161</v>
      </c>
      <c r="B212" s="322" t="s">
        <v>162</v>
      </c>
      <c r="C212" s="323">
        <v>2014</v>
      </c>
      <c r="D212" s="324">
        <v>2015</v>
      </c>
      <c r="E212" s="324">
        <v>2016</v>
      </c>
      <c r="F212" s="324">
        <v>2017</v>
      </c>
      <c r="G212" s="324">
        <v>2018</v>
      </c>
      <c r="H212" s="324">
        <v>2019</v>
      </c>
      <c r="I212" s="325">
        <v>2020</v>
      </c>
    </row>
    <row r="213" spans="1:21">
      <c r="A213" t="s">
        <v>163</v>
      </c>
      <c r="B213" s="1973"/>
      <c r="C213" s="72"/>
      <c r="D213" s="135"/>
      <c r="E213" s="135"/>
      <c r="F213" s="135"/>
      <c r="G213" s="135"/>
      <c r="H213" s="135"/>
      <c r="I213" s="326"/>
    </row>
    <row r="214" spans="1:21">
      <c r="A214" t="s">
        <v>164</v>
      </c>
      <c r="B214" s="1974"/>
      <c r="C214" s="72"/>
      <c r="D214" s="135"/>
      <c r="E214" s="135"/>
      <c r="F214" s="135"/>
      <c r="G214" s="135"/>
      <c r="H214" s="135"/>
      <c r="I214" s="326"/>
      <c r="U214" s="327"/>
    </row>
    <row r="215" spans="1:21">
      <c r="A215" t="s">
        <v>165</v>
      </c>
      <c r="B215" s="1974"/>
      <c r="C215" s="72"/>
      <c r="D215" s="135"/>
      <c r="E215" s="135"/>
      <c r="F215" s="135"/>
      <c r="G215" s="135"/>
      <c r="H215" s="135"/>
      <c r="I215" s="326"/>
      <c r="U215" s="327"/>
    </row>
    <row r="216" spans="1:21">
      <c r="A216" t="s">
        <v>166</v>
      </c>
      <c r="B216" s="1974"/>
      <c r="C216" s="72"/>
      <c r="D216" s="328">
        <v>304800</v>
      </c>
      <c r="E216" s="328">
        <v>299052.46999999997</v>
      </c>
      <c r="F216" s="1784">
        <v>335970</v>
      </c>
      <c r="G216" s="135"/>
      <c r="H216" s="135"/>
      <c r="I216" s="326"/>
      <c r="U216" s="327"/>
    </row>
    <row r="217" spans="1:21">
      <c r="A217" t="s">
        <v>167</v>
      </c>
      <c r="B217" s="1974"/>
      <c r="C217" s="72"/>
      <c r="D217" s="135"/>
      <c r="E217" s="135"/>
      <c r="F217" s="328"/>
      <c r="G217" s="135"/>
      <c r="H217" s="135"/>
      <c r="I217" s="326"/>
    </row>
    <row r="218" spans="1:21">
      <c r="A218" s="56" t="s">
        <v>168</v>
      </c>
      <c r="B218" s="1974"/>
      <c r="C218" s="72"/>
      <c r="D218" s="330"/>
      <c r="E218" s="330"/>
      <c r="F218" s="328"/>
      <c r="G218" s="135"/>
      <c r="H218" s="135"/>
      <c r="I218" s="326"/>
    </row>
    <row r="219" spans="1:21" ht="15.75" thickBot="1">
      <c r="A219" s="331"/>
      <c r="B219" s="1975"/>
      <c r="C219" s="42" t="s">
        <v>13</v>
      </c>
      <c r="D219" s="332">
        <f t="shared" ref="D219:I219" si="19">SUM(D214:D218)</f>
        <v>304800</v>
      </c>
      <c r="E219" s="332">
        <f t="shared" si="19"/>
        <v>299052.46999999997</v>
      </c>
      <c r="F219" s="332">
        <f t="shared" si="19"/>
        <v>335970</v>
      </c>
      <c r="G219" s="333">
        <f t="shared" si="19"/>
        <v>0</v>
      </c>
      <c r="H219" s="333">
        <f t="shared" si="19"/>
        <v>0</v>
      </c>
      <c r="I219" s="333">
        <f t="shared" si="19"/>
        <v>0</v>
      </c>
    </row>
    <row r="222" spans="1:21">
      <c r="E222" s="327"/>
      <c r="F222" s="327"/>
    </row>
    <row r="223" spans="1:21">
      <c r="E223" s="327"/>
      <c r="F223" s="327"/>
    </row>
    <row r="224" spans="1:21">
      <c r="E224" s="327"/>
      <c r="F224" s="327"/>
    </row>
    <row r="225" spans="4:6">
      <c r="F225" s="327"/>
    </row>
    <row r="226" spans="4:6">
      <c r="F226" s="327"/>
    </row>
    <row r="227" spans="4:6">
      <c r="D227" s="327"/>
    </row>
    <row r="228" spans="4:6">
      <c r="F228" s="327"/>
    </row>
    <row r="231" spans="4:6">
      <c r="E231" s="327"/>
    </row>
  </sheetData>
  <mergeCells count="73">
    <mergeCell ref="D26:G26"/>
    <mergeCell ref="F3:O3"/>
    <mergeCell ref="A4:O10"/>
    <mergeCell ref="D15:G15"/>
    <mergeCell ref="A17:A24"/>
    <mergeCell ref="B17:B24"/>
    <mergeCell ref="A28:A35"/>
    <mergeCell ref="B28:B35"/>
    <mergeCell ref="A40:A47"/>
    <mergeCell ref="B40:B47"/>
    <mergeCell ref="A50:A58"/>
    <mergeCell ref="B50:B58"/>
    <mergeCell ref="D96:E96"/>
    <mergeCell ref="A60:A61"/>
    <mergeCell ref="C60:C61"/>
    <mergeCell ref="D60:D61"/>
    <mergeCell ref="A62:A69"/>
    <mergeCell ref="B62:B69"/>
    <mergeCell ref="A72:A79"/>
    <mergeCell ref="B72:B79"/>
    <mergeCell ref="A85:A92"/>
    <mergeCell ref="B85:B92"/>
    <mergeCell ref="A96:A97"/>
    <mergeCell ref="B96:B97"/>
    <mergeCell ref="C96:C97"/>
    <mergeCell ref="D118:D119"/>
    <mergeCell ref="A98:A105"/>
    <mergeCell ref="B98:B105"/>
    <mergeCell ref="A107:A108"/>
    <mergeCell ref="B107:B108"/>
    <mergeCell ref="C107:C108"/>
    <mergeCell ref="D107:D108"/>
    <mergeCell ref="A109:A116"/>
    <mergeCell ref="B109:B116"/>
    <mergeCell ref="A118:A119"/>
    <mergeCell ref="B118:B119"/>
    <mergeCell ref="C118:C119"/>
    <mergeCell ref="J142:N142"/>
    <mergeCell ref="A144:A151"/>
    <mergeCell ref="B144:B151"/>
    <mergeCell ref="A120:A127"/>
    <mergeCell ref="B120:B127"/>
    <mergeCell ref="A129:A130"/>
    <mergeCell ref="B129:B130"/>
    <mergeCell ref="A131:A137"/>
    <mergeCell ref="B131:B137"/>
    <mergeCell ref="A165:A172"/>
    <mergeCell ref="B165:B172"/>
    <mergeCell ref="A142:A143"/>
    <mergeCell ref="B142:B143"/>
    <mergeCell ref="C142:C143"/>
    <mergeCell ref="A153:A154"/>
    <mergeCell ref="B153:B154"/>
    <mergeCell ref="C153:C154"/>
    <mergeCell ref="A155:A162"/>
    <mergeCell ref="B155:B162"/>
    <mergeCell ref="A176:A177"/>
    <mergeCell ref="B176:B177"/>
    <mergeCell ref="C176:C177"/>
    <mergeCell ref="I176:O176"/>
    <mergeCell ref="A178:A185"/>
    <mergeCell ref="B178:B185"/>
    <mergeCell ref="P180:S182"/>
    <mergeCell ref="A187:A188"/>
    <mergeCell ref="B187:B188"/>
    <mergeCell ref="C187:C188"/>
    <mergeCell ref="D187:G187"/>
    <mergeCell ref="H187:L187"/>
    <mergeCell ref="A189:A196"/>
    <mergeCell ref="B189:B196"/>
    <mergeCell ref="A202:A209"/>
    <mergeCell ref="B202:B209"/>
    <mergeCell ref="B213:B21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1"/>
  <sheetViews>
    <sheetView topLeftCell="B202" workbookViewId="0">
      <selection activeCell="F219" sqref="F219"/>
    </sheetView>
  </sheetViews>
  <sheetFormatPr defaultColWidth="8.85546875" defaultRowHeight="15"/>
  <cols>
    <col min="1" max="1" width="91" customWidth="1"/>
    <col min="2" max="2" width="64" customWidth="1"/>
    <col min="3" max="3" width="11.5703125" customWidth="1"/>
    <col min="4" max="5" width="13.140625" customWidth="1"/>
    <col min="6" max="6" width="13.28515625" customWidth="1"/>
    <col min="7"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798" t="s">
        <v>584</v>
      </c>
      <c r="C1" s="1799"/>
      <c r="D1" s="1799"/>
      <c r="E1" s="1799"/>
      <c r="F1" s="1799"/>
    </row>
    <row r="2" spans="1:25" s="1" customFormat="1" ht="20.100000000000001" customHeight="1" thickBot="1"/>
    <row r="3" spans="1:25" s="4" customFormat="1" ht="20.100000000000001" customHeight="1">
      <c r="A3" s="1811" t="s">
        <v>2</v>
      </c>
      <c r="B3" s="1812"/>
      <c r="C3" s="1812"/>
      <c r="D3" s="1812"/>
      <c r="E3" s="1812"/>
      <c r="F3" s="2487"/>
      <c r="G3" s="2487"/>
      <c r="H3" s="2487"/>
      <c r="I3" s="2487"/>
      <c r="J3" s="2487"/>
      <c r="K3" s="2487"/>
      <c r="L3" s="2487"/>
      <c r="M3" s="2487"/>
      <c r="N3" s="2487"/>
      <c r="O3" s="2488"/>
    </row>
    <row r="4" spans="1:25" s="4" customFormat="1" ht="20.100000000000001" customHeight="1">
      <c r="A4" s="2420" t="s">
        <v>170</v>
      </c>
      <c r="B4" s="1948"/>
      <c r="C4" s="1948"/>
      <c r="D4" s="1948"/>
      <c r="E4" s="1948"/>
      <c r="F4" s="1948"/>
      <c r="G4" s="1948"/>
      <c r="H4" s="1948"/>
      <c r="I4" s="1948"/>
      <c r="J4" s="1948"/>
      <c r="K4" s="1948"/>
      <c r="L4" s="1948"/>
      <c r="M4" s="1948"/>
      <c r="N4" s="1948"/>
      <c r="O4" s="1949"/>
    </row>
    <row r="5" spans="1:25" s="4" customFormat="1" ht="20.100000000000001" customHeight="1">
      <c r="A5" s="2420"/>
      <c r="B5" s="1948"/>
      <c r="C5" s="1948"/>
      <c r="D5" s="1948"/>
      <c r="E5" s="1948"/>
      <c r="F5" s="1948"/>
      <c r="G5" s="1948"/>
      <c r="H5" s="1948"/>
      <c r="I5" s="1948"/>
      <c r="J5" s="1948"/>
      <c r="K5" s="1948"/>
      <c r="L5" s="1948"/>
      <c r="M5" s="1948"/>
      <c r="N5" s="1948"/>
      <c r="O5" s="1949"/>
    </row>
    <row r="6" spans="1:25" s="4" customFormat="1" ht="20.100000000000001" customHeight="1">
      <c r="A6" s="2420"/>
      <c r="B6" s="1948"/>
      <c r="C6" s="1948"/>
      <c r="D6" s="1948"/>
      <c r="E6" s="1948"/>
      <c r="F6" s="1948"/>
      <c r="G6" s="1948"/>
      <c r="H6" s="1948"/>
      <c r="I6" s="1948"/>
      <c r="J6" s="1948"/>
      <c r="K6" s="1948"/>
      <c r="L6" s="1948"/>
      <c r="M6" s="1948"/>
      <c r="N6" s="1948"/>
      <c r="O6" s="1949"/>
    </row>
    <row r="7" spans="1:25" s="4" customFormat="1" ht="20.100000000000001" customHeight="1">
      <c r="A7" s="2420"/>
      <c r="B7" s="1948"/>
      <c r="C7" s="1948"/>
      <c r="D7" s="1948"/>
      <c r="E7" s="1948"/>
      <c r="F7" s="1948"/>
      <c r="G7" s="1948"/>
      <c r="H7" s="1948"/>
      <c r="I7" s="1948"/>
      <c r="J7" s="1948"/>
      <c r="K7" s="1948"/>
      <c r="L7" s="1948"/>
      <c r="M7" s="1948"/>
      <c r="N7" s="1948"/>
      <c r="O7" s="1949"/>
    </row>
    <row r="8" spans="1:25" s="4" customFormat="1" ht="20.100000000000001" customHeight="1">
      <c r="A8" s="2420"/>
      <c r="B8" s="1948"/>
      <c r="C8" s="1948"/>
      <c r="D8" s="1948"/>
      <c r="E8" s="1948"/>
      <c r="F8" s="1948"/>
      <c r="G8" s="1948"/>
      <c r="H8" s="1948"/>
      <c r="I8" s="1948"/>
      <c r="J8" s="1948"/>
      <c r="K8" s="1948"/>
      <c r="L8" s="1948"/>
      <c r="M8" s="1948"/>
      <c r="N8" s="1948"/>
      <c r="O8" s="1949"/>
    </row>
    <row r="9" spans="1:25" s="4" customFormat="1" ht="20.100000000000001" customHeight="1">
      <c r="A9" s="2420"/>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1813"/>
      <c r="B15" s="1814"/>
      <c r="C15" s="10"/>
      <c r="D15" s="2421" t="s">
        <v>5</v>
      </c>
      <c r="E15" s="2489"/>
      <c r="F15" s="2489"/>
      <c r="G15" s="2489"/>
      <c r="H15" s="1746"/>
      <c r="I15" s="12" t="s">
        <v>6</v>
      </c>
      <c r="J15" s="13"/>
      <c r="K15" s="13"/>
      <c r="L15" s="13"/>
      <c r="M15" s="13"/>
      <c r="N15" s="13"/>
      <c r="O15" s="14"/>
      <c r="P15" s="15"/>
      <c r="Q15" s="16"/>
      <c r="R15" s="17"/>
      <c r="S15" s="17"/>
      <c r="T15" s="17"/>
      <c r="U15" s="17"/>
      <c r="V15" s="17"/>
      <c r="W15" s="15"/>
      <c r="X15" s="15"/>
      <c r="Y15" s="16"/>
    </row>
    <row r="16" spans="1:25" s="56" customFormat="1" ht="129" customHeight="1">
      <c r="A16" s="153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2408" t="str">
        <f>CONCATENATE('[1]WSS 2015'!B17:B24,'[1]WSS 2016_2017 stan 31.12.2017'!A17:B24)</f>
        <v>Organizacja 27 jednodniowych szkoleń dot. efektów PROW 2007-2013 oraz PROW 2014-2020, spotkanie informacyjne "Transfer wiedzy i działalność informacyjna PROW 2014-2020", impreza wystawiennicza z udziałem szkół rolniczych prowadoznych przez MRiRW w zakresie promowania PROW 2014-2020, 5 imrez targowych (Siedlce, Bednary, Częstochowa, Spała, Natura Food), spotkanie informacyne dot. PROW w ramach Krajowego Kongeru Rolnictwa RP Konferencja dla kadry zarządzającej ZSCKR z wyjazdem studyjnym, Konferencja dla dyrektorów szkół rolniczych w zakresie działań info-promo PROW, konferencja dot. prezentacji i promocji innowacyjnych rozwiązań technologicznych oraz metod produkcji, szkolenie nt rozpoznawania i monitoringu agrofagów, podsumowanie konkursu na najlepsze czasopismo wydawnicze. Spotkanie w ramach Nordycko-Baltyckiej Sieci Obszarów WIejskich.Obszar tematyczny: Promocja zrównoważonego rozwoju obszarów wiejskich (operacja: Organizacja XL oraz XLI Ogólnopolskiego Konkursu Jakości Prac Scaleniowych promującego doświadczenia i najlepsze stosowane praktyki)  Spotkanie dotyczące doświadczeń europejskich we wdrażaniu podejścia Leader i RLKS w dniu 09.06.2016 r. dwa wydarzenia - "Transfer wiedzy i działalność informacyjna" (spotkanie z nauczycielami szkół rolniczych MRiRW oraz spotkanie podczas Sierpeckich Dni Rolnika w Studzieńcu).
Spotkanie podczas Sierpeckich Dni Rolnika w Studzieńcu miało charakter regionalny.
Spotkanie z nauczycielami ze szkół prowadzonych przez MRiRW miało charakter ogólnopolski. 6 wydarzeń:
1) Konferencja dla dyrektorów szkół rolniczych prowadzonych przez MRiRW oraz dyrektora KCER dot. PROW 2014-2020;
2) Olimpiady Wierdzy i Umiejętności dla uczniów szkół ponadgimnazjalnych. (2 olimpiady: Olimpiada Wiedzy o Żźywieniu i Żywności i Olimpiada Wiedzy i Umiętności Rolniczych)
3) projekt o zasięgu międzynarodowym - VIII Miedzynarodowe Targi Turytyki Wiejskiej i Agroturytyki AGROTRAVEL (8-10 kwietnia 2016 r.), w tym Międzynarodowy panel dyskusyjny w ramach Forum Turystyki Wiejskiej i Agroturystyki pt.: Miejsce turystyki wiejskiej w nowoczesnej gospodarce. (zakres tematyczny mieszany)
4) Wizyta studyjna AGROTRIP (priorytet 6 i 8 - Promowanie włączenia społecznego, zmniejszenia ubóstwa oraz rozwoju gospodarczego na obszarach wiejskich
Promowanie efektywnego gospodarowania zasobami i wspieranie przechodzenia w sektorach rolnym, spożywczym i leśnym na gospodarkę niskoemisyjną i odporną na zmianę klimatu.)
5) Stoisko "Odpoczywaj na wsi" (priorytet 6 i 8 - jak wyżej) 1. Konkurs "Sposób na sukces" 2. Konkurs na najlepsze wydawnictwo ODR cztery spotkania łącznie, w tym: (1)  jedno spotkanie dla działania  organizacja spotkań informacyjnych dla kadry kierowniczej instytutów naukowo-badawczych podległych Ministrowi Rolnictwa i Rozwoju Wsi ; (2) trzy spotkania dla działania -Organizacja cyklu wizyt doradców rolniczych w instytutach naukowo-badawczych Targi AgroPark w Lublinie, targi Agrotech w Kielcach, Regionalna Wystawa Zwierząt Hodowlanych w Szepietowie, targi Agrotech w Minikowie, Krajowa Wystawa Rolnicza oraz Dożynki Jasnogórskie w Częstochowie, Dni z Doradztwem Rolniczym w Siedlcach, Dożynki Prezydenckie w Spale, targi AGROSHOW w Bednarach. projekt o zasięgu miedzynarodowym - Targi Grune Woche w Berlinie, projekt o zasięgu miedzynarodowym - Targi BioFach w Norymberdze, Targi Natura Food w Łodzi, Finał V edycji ogólnopolskiego konkursu dla szkół gastronomicznych Krajowy Kongres Rolnictwa Rzeczypospolitej Polskiej1) Upowszechnianie wiedzy w zakresie systemów jakości zywności (konferencja i konkurs)
2) Z pola do Garnka - współpraca rolników ekologicznych w skracaniu łańcucha dostaw (szkolenia, wyjazdy studyjne)
3) Zespół ekspertów na rzecz wymogów ochrony środowiska i zmian klimatu (szkolenia)
4) Kierunek rozwój (konferencja)
5) Ekolider.pl LGD dla zrównoważonego rozwoju. Środowisko, klimat, ekoinnowacje w operacjach RLKS (konkurs 1, szkolenie 10, wyjazd studyjny 3)
6) Wyjazd studyjny do Portugalii w celu wymiany wiedzy z zakresu klęsk żywiołowych ze szczególnym uwzględnieniem suszy
7) Międzynarodowe warsztaty nt. ubustwa i wykluczenia na wsi (szkolenie, wyjazd studyjny)
8) Rolniczy Handel Detalicxzny ważnym elementem zrównoważonego rozwoju obszarów wiejskich (4 konferencje)
9) Zrównoważony rozwój regionu w oparciu o certyfikowane produkty tradycyjne (wyjazd studyjny, konferencja)
10) Puls wsi, czyli partycypacja umacnia lokalną synergię wsi (seminarium-3, konferencja-1)
11) Wyjazd studyjny-od bacówki do fabryki, dobre praktyki (wyjazd studyjny)
12) Sieci współpracy w turystyce wiejskiej - stan obecny i nowe wyzwania (konferencja) 
13) Zwiększenie efektywności doradztwa we wspieraniu innowacyjności w rolnictwie (konferencja)
14) Komercjalizacja działalności LGD formą budowy potencjału organizacyjnego (szkolenie)
15) Gospodarstwa opikuńcze - rozwijanie usług społecznych na obszarach wiejskich (szkolenia 16)
16) Przyróćmy Wisłę mieszkańcom obszarów wiejskich (szkolenie -4, wyjazd studyjny -4)
17) WPR po 2020 r.  (konferencje -4)
18) Upowszechnianie dobrych praktyk w farmerskiej produkcji sera (seminaria-13 dla PLW oraz dla doradców rolniczych, producentów, LGD, przedstawicieli organizacji pozarządowych)
1) 2 Jednodniowe konferencje nt. rezultatów realizacji PROW 2014-2020 z uwzględnieniem doświadczeń z perspektywy 2007-2013 oraz punkt informacyjny/doradczy (DROW)
2) "Transfer wiedzy i działalność informacyjna" (2 spotkania Spotkania podczas Sierpeckich Dni Rolnika w Studzieńcu miały charakter regionalny. Spotkania z nauczycielami ze szkół prowadzonych przez Ministra Rolnictwa i Rozwoju Wsi miały charakter krajowy). (SSO)
3) Organizacja konkursów promujących i informujących o PROW 2014-2020 (konkurs Sposób na sukces oraz na najlepsze wydwnictwo ODR) (SAR)
RR
 Targi AgroPark w Lublinie, Międzynarodowe Targi Techniki Rolniczej AGROTECH w Kielcach, Regionalna Wystawa Zwierząt Hodowlanych w Szepietowie, XXVI Krajowa Wystawa Rolnicza oraz Ogólnopolskie Dożynki Jasnogórskie w Częstochowie, Dożynki Prezydenckie w Spale,  XL Międzynarodowe Targi Rolno-Przemysłowe AGRO-TECH połączone z Regionalną Wystawą Zwierząt Hodowlanych w Minikowie, XXIV Regionalna Wystawa Zwierząt Hodowlanych i Dni z Doradztwem Rolniczym w Szepietowie, Międzynarodowa Wystawy Rolniczej AGRO SHOW w Bednarach, XXIX Międzynarodowe Dni z Doradztwem Rolniczym połączone z XIII Regionalną Wystawą Zwierząt Hodowlanych w Siedlcach.
Seminaria/szkolenia/spotkania/konferencje informacyjne nt.  Systemu Chronionych Nazw Pochodzenia, Chronionych Oznaczeń Geograficznych oraz Gwarantowanych Tradycyjnych Specjalności w celu przedstawienia działań wspierających ten sektor w ramach PROW 2014-2020DGZ
1. Obszar tematyczny: Promocja zrównoważonego rozwoju Obszarów Wiejskich  (operacja: XLI Ogólnopolskiego Konkursu Jakości Prac Scaleniowych promujacego doświadczenia i najlepsze stosowane praktyki)
SSO
1) "Olimpiada Wiedzy i Umiejętności Rolniczych" (zakup nagród rzeczowych dla laureatów);
2) "Olimpiada Wiedzy o Żywieniu i Żywności" (zakup nagród rzeczowych dla laureatów);
3)  Cykl konferencji dla dyrektorów szkół rolniczych prowadzonych przez Ministra Rolnictwa i Rozwoju Wsi dot. RPOW 2014-2020 ( 2 konferencje)
4) 8 seminariów pod nazwą: Integracja środowiska turystyki wiejskiej i agroturystyki z przedstawicielami branży turystycznej (priotytet 5 i 6);
5) organizacja stoiska "Odpoczywaj na wsi" na 8 imprezach targowo-plenerowych (priotytet 5 i 6)
6) organizacja stoiska "Odpoczywaj na wsi" na targach ITB w Berlinie  (piorytet 6 z naciskiem na promowanie rozwoju gospodarczego na obszarach wiejskich)
7) Liderki społeczności wiejskiej w procesach rozwoju lokalnego - (40 jednodniowych szkoleń)
SAR
1) 1 seminarium dla kadry zarządzajacej instytutów badawczych i jednostek doradztwa rolniczego, 
2) 2 wizyty doradców rolniczych w instytutach naukowo-badawczych, 
3) 2 spotkania informacyjne dla kadry zarządzajacej jednostkami doradztwa rolniczego
RR
4 wydarzenia: 
- Targi Grune Woche w Berlinie;
- Targi BioFch w Norymberdze;
-Targi Natura Food w Łodzi;
- Finał VI edycji ogólnopolskiego konkursu dla szkół gastronomicznych
Obszar tematyczny : Seminarium podsumowujące ZXL Ogólnopolski Konkurs Jakości Prac Scaleniowych</v>
      </c>
      <c r="B17" s="1855"/>
      <c r="C17" s="29">
        <v>2014</v>
      </c>
      <c r="D17" s="30"/>
      <c r="E17" s="31"/>
      <c r="F17" s="31"/>
      <c r="G17" s="32">
        <v>0</v>
      </c>
      <c r="H17" s="33"/>
      <c r="I17" s="31"/>
      <c r="J17" s="31"/>
      <c r="K17" s="31"/>
      <c r="L17" s="31"/>
      <c r="M17" s="31"/>
      <c r="N17" s="31"/>
      <c r="O17" s="34"/>
      <c r="P17" s="35"/>
      <c r="Q17" s="35"/>
      <c r="R17" s="35"/>
      <c r="S17" s="35"/>
      <c r="T17" s="35"/>
      <c r="U17" s="35"/>
      <c r="V17" s="35"/>
      <c r="W17" s="35"/>
      <c r="X17" s="35"/>
      <c r="Y17" s="35"/>
    </row>
    <row r="18" spans="1:25">
      <c r="A18" s="2378"/>
      <c r="B18" s="1855"/>
      <c r="C18" s="36">
        <v>2015</v>
      </c>
      <c r="D18" s="37">
        <f>'[1]WSS 2015'!D18</f>
        <v>0</v>
      </c>
      <c r="E18" s="38">
        <f>'[1]WSS 2015'!E18</f>
        <v>41</v>
      </c>
      <c r="F18" s="38">
        <f>'[1]WSS 2015'!F18</f>
        <v>0</v>
      </c>
      <c r="G18" s="32">
        <f>'[1]WSS 2015'!G18</f>
        <v>41</v>
      </c>
      <c r="H18" s="39">
        <f>'[1]WSS 2015'!H18</f>
        <v>7</v>
      </c>
      <c r="I18" s="38">
        <f>'[1]WSS 2015'!I18</f>
        <v>1</v>
      </c>
      <c r="J18" s="38">
        <f>'[1]WSS 2015'!J18</f>
        <v>2</v>
      </c>
      <c r="K18" s="38">
        <f>'[1]WSS 2015'!K18</f>
        <v>3</v>
      </c>
      <c r="L18" s="38">
        <f>'[1]WSS 2015'!L18</f>
        <v>0</v>
      </c>
      <c r="M18" s="38">
        <f>'[1]WSS 2015'!M18</f>
        <v>0</v>
      </c>
      <c r="N18" s="38">
        <f>'[1]WSS 2015'!N18</f>
        <v>1</v>
      </c>
      <c r="O18" s="40">
        <f>'[1]WSS 2015'!O18</f>
        <v>27</v>
      </c>
      <c r="P18" s="35"/>
      <c r="Q18" s="35"/>
      <c r="R18" s="35"/>
      <c r="S18" s="35"/>
      <c r="T18" s="35"/>
      <c r="U18" s="35"/>
      <c r="V18" s="35"/>
      <c r="W18" s="35"/>
      <c r="X18" s="35"/>
      <c r="Y18" s="35"/>
    </row>
    <row r="19" spans="1:25">
      <c r="A19" s="2378"/>
      <c r="B19" s="1855"/>
      <c r="C19" s="36">
        <v>2016</v>
      </c>
      <c r="D19" s="37">
        <v>1</v>
      </c>
      <c r="E19" s="38">
        <v>25</v>
      </c>
      <c r="F19" s="38">
        <v>3</v>
      </c>
      <c r="G19" s="32">
        <v>29</v>
      </c>
      <c r="H19" s="39">
        <v>6</v>
      </c>
      <c r="I19" s="38">
        <v>13</v>
      </c>
      <c r="J19" s="38">
        <v>0</v>
      </c>
      <c r="K19" s="38">
        <v>4</v>
      </c>
      <c r="L19" s="38">
        <v>1</v>
      </c>
      <c r="M19" s="38">
        <v>0</v>
      </c>
      <c r="N19" s="38">
        <v>0</v>
      </c>
      <c r="O19" s="40">
        <v>5</v>
      </c>
      <c r="P19" s="35"/>
      <c r="Q19" s="35"/>
      <c r="R19" s="35"/>
      <c r="S19" s="35"/>
      <c r="T19" s="35"/>
      <c r="U19" s="35"/>
      <c r="V19" s="35"/>
      <c r="W19" s="35"/>
      <c r="X19" s="35"/>
      <c r="Y19" s="35"/>
    </row>
    <row r="20" spans="1:25">
      <c r="A20" s="2378"/>
      <c r="B20" s="1855"/>
      <c r="C20" s="36">
        <v>2017</v>
      </c>
      <c r="D20" s="37">
        <v>9</v>
      </c>
      <c r="E20" s="38">
        <v>168</v>
      </c>
      <c r="F20" s="38">
        <v>3</v>
      </c>
      <c r="G20" s="32">
        <v>180</v>
      </c>
      <c r="H20" s="39">
        <v>15</v>
      </c>
      <c r="I20" s="38">
        <v>37</v>
      </c>
      <c r="J20" s="38">
        <v>8</v>
      </c>
      <c r="K20" s="38">
        <v>62</v>
      </c>
      <c r="L20" s="38">
        <v>14</v>
      </c>
      <c r="M20" s="38">
        <v>4</v>
      </c>
      <c r="N20" s="38">
        <v>0</v>
      </c>
      <c r="O20" s="40">
        <v>40</v>
      </c>
      <c r="P20" s="35"/>
      <c r="Q20" s="35"/>
      <c r="R20" s="35"/>
      <c r="S20" s="35"/>
      <c r="T20" s="35"/>
      <c r="U20" s="35"/>
      <c r="V20" s="35"/>
      <c r="W20" s="35"/>
      <c r="X20" s="35"/>
      <c r="Y20" s="35"/>
    </row>
    <row r="21" spans="1:25">
      <c r="A21" s="2378"/>
      <c r="B21" s="1855"/>
      <c r="C21" s="36">
        <v>2018</v>
      </c>
      <c r="D21" s="37"/>
      <c r="E21" s="38"/>
      <c r="F21" s="38"/>
      <c r="G21" s="32">
        <v>0</v>
      </c>
      <c r="H21" s="39"/>
      <c r="I21" s="38"/>
      <c r="J21" s="38"/>
      <c r="K21" s="38"/>
      <c r="L21" s="38"/>
      <c r="M21" s="38"/>
      <c r="N21" s="38"/>
      <c r="O21" s="40"/>
      <c r="P21" s="35"/>
      <c r="Q21" s="35"/>
      <c r="R21" s="35"/>
      <c r="S21" s="35"/>
      <c r="T21" s="35"/>
      <c r="U21" s="35"/>
      <c r="V21" s="35"/>
      <c r="W21" s="35"/>
      <c r="X21" s="35"/>
      <c r="Y21" s="35"/>
    </row>
    <row r="22" spans="1:25">
      <c r="A22" s="2378"/>
      <c r="B22" s="1855"/>
      <c r="C22" s="41">
        <v>2019</v>
      </c>
      <c r="D22" s="37"/>
      <c r="E22" s="38"/>
      <c r="F22" s="38"/>
      <c r="G22" s="32">
        <v>0</v>
      </c>
      <c r="H22" s="39"/>
      <c r="I22" s="38"/>
      <c r="J22" s="38"/>
      <c r="K22" s="38"/>
      <c r="L22" s="38"/>
      <c r="M22" s="38"/>
      <c r="N22" s="38"/>
      <c r="O22" s="40"/>
      <c r="P22" s="35"/>
      <c r="Q22" s="35"/>
      <c r="R22" s="35"/>
      <c r="S22" s="35"/>
      <c r="T22" s="35"/>
      <c r="U22" s="35"/>
      <c r="V22" s="35"/>
      <c r="W22" s="35"/>
      <c r="X22" s="35"/>
      <c r="Y22" s="35"/>
    </row>
    <row r="23" spans="1:25">
      <c r="A23" s="2378"/>
      <c r="B23" s="1855"/>
      <c r="C23" s="36">
        <v>2020</v>
      </c>
      <c r="D23" s="37"/>
      <c r="E23" s="38"/>
      <c r="F23" s="38"/>
      <c r="G23" s="32">
        <v>0</v>
      </c>
      <c r="H23" s="39"/>
      <c r="I23" s="38"/>
      <c r="J23" s="38"/>
      <c r="K23" s="38"/>
      <c r="L23" s="38"/>
      <c r="M23" s="38"/>
      <c r="N23" s="38"/>
      <c r="O23" s="40"/>
      <c r="P23" s="35"/>
      <c r="Q23" s="35"/>
      <c r="R23" s="35"/>
      <c r="S23" s="35"/>
      <c r="T23" s="35"/>
      <c r="U23" s="35"/>
      <c r="V23" s="35"/>
      <c r="W23" s="35"/>
      <c r="X23" s="35"/>
      <c r="Y23" s="35"/>
    </row>
    <row r="24" spans="1:25" ht="19.5" customHeight="1" thickBot="1">
      <c r="A24" s="1856"/>
      <c r="B24" s="1857"/>
      <c r="C24" s="42" t="s">
        <v>13</v>
      </c>
      <c r="D24" s="43">
        <v>9</v>
      </c>
      <c r="E24" s="44">
        <v>168</v>
      </c>
      <c r="F24" s="44">
        <v>3</v>
      </c>
      <c r="G24" s="45">
        <v>180</v>
      </c>
      <c r="H24" s="46">
        <v>15</v>
      </c>
      <c r="I24" s="47">
        <v>37</v>
      </c>
      <c r="J24" s="47">
        <v>8</v>
      </c>
      <c r="K24" s="47">
        <v>62</v>
      </c>
      <c r="L24" s="47">
        <v>14</v>
      </c>
      <c r="M24" s="47">
        <v>4</v>
      </c>
      <c r="N24" s="47">
        <v>0</v>
      </c>
      <c r="O24" s="48">
        <v>40</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1813"/>
      <c r="B26" s="1814"/>
      <c r="C26" s="50"/>
      <c r="D26" s="2423" t="s">
        <v>5</v>
      </c>
      <c r="E26" s="2490"/>
      <c r="F26" s="2490"/>
      <c r="G26" s="2491"/>
      <c r="H26" s="15"/>
      <c r="I26" s="16"/>
      <c r="J26" s="17"/>
      <c r="K26" s="17"/>
      <c r="L26" s="17"/>
      <c r="M26" s="17"/>
      <c r="N26" s="17"/>
      <c r="O26" s="15"/>
      <c r="P26" s="15"/>
    </row>
    <row r="27" spans="1:25" s="56" customFormat="1" ht="93" customHeight="1">
      <c r="A27" s="171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2408" t="str">
        <f>CONCATENATE('[1]WSS 2015'!B28:B35,'[1]WSS 2016_2017 stan 31.12.2017'!A28:B35)</f>
        <v>Organizacja 27 jednodniowych szkoleń dot. efektów PROW 2007-2013 oraz PROW 2014-2020 - 2700, spotkanie informacyjne "Transfer wiedzy i działalność informacyjna PROW 2014-2020" -83, impreza wystawiennicza z udziałem szkół rolniczych prowadoznych przez MRiRW w zakresie promowania PROW 2014-2020 - 51, 5 imrez targowych (Siedlce, Bednary, Częstochowa, Spała, Natura Food) - ok. 272000 odwiedzających, spotkanie informacyne dot. PROW w ramach Krajowego Kongeru Rolnictwa RP - 164 Konferencja dla kadry zarządzającej ZSCKR z wyjazdem studyjnym (1 dla 57 osób), Konferencja dla dyrektorów szkół rolniczych w zakresie działań info-promo PROW (1 dla 66 osób), konferencja dot. prezentacji i promocji innowacyjnych rozwiązań technologicznych oraz metod produkcji (1 dla 150 osób), szkolenie nt rozpoznawania i monitoringu agrofagów (88 osób), podsumowanie konkursu na nalepsze czasopismo wydawnicze (1 dla 35 osób).Spotkanie w ramach Nordycko-Baltyckiej Sieci Obszarów WIejskich.Obszar tematyczny: Promocja zrównoważonego rozwoju obszarów wiejskich (operacja: Organizacja XL oraz XLI Ogólnopolskiego Konkursu Jakości Prac Scaleniowych promującego doświadczenia i najlepsze stosowane praktyki)  - 78 osób  Spotkanie dotyczące doświadczeń europejskich we wdrażaniu podejścia Leader i RLKS w dniu 09.06.2016 r. - 40 osób dwa wydarzenia - "Transfer wiedzy i działalność informacyjna" (spotkanie z nauczycielami szkół rolniczych MRiRW oraz spotkanie podczas Sierpeckich Dni Rolnika w Studzieńcu).
Spotkanie podczas Sierpeckich Dni Rolnika w Studzieńcu miało charakter regionalny- 200 osób.
Spotkanie z nauczycielami ze szkół prowadzonych przez MRiRW miało charakter ogólnopolski - 100 osób. 5 wydarzeń:
1) Konferencja dla dyrektorów szkół rolniczych prowadzonych przez MRiRW oraz dyrektora KCER dot. PROW 2014-2020 - 68 osób;
2) Olimpiady Wierdzy i Umiejętności dla uczniów szkół ponadgimnazjalnych. (2 olimpiady: Olimpiada Wiedzy o Żźywieniu i Żywności i Olimpiada Wiedzy i Umiętności Rolniczych) - 65 osób
3) projekt o zasięgu międzynarodowym - VIII Miedzynarodowe Targi Turytyki Wiejskiej i Agroturytyki AGROTRAVEL (8-10 kwietnia 2016 r.), w tym Międzynarodowy panel dyskusyjny w ramach Forum Turystyki Wiejskiej i Agroturystyki pt.: Miejsce turystyki wiejskiej w nowoczesnej gospodarce. (priorytet 6) - 20000 uczestników
4) Wizyta studyjna AGROTRIP (priorytet 6) - 21 osób
5) Stoisko "Odpoczywaj na wsi" (priorytet 6 i 8 - jak wyżej) - 5000 odwiedzających 1. Konkurs "Sposób na sukces" 2. Konkurs na najlepsze wydawnictwo ODR (razem 166 osób) działanie : (1) organizacja spotkań informacyjnych dla kadry kierowniczej instytutów naukowo-badawczych podległych Ministrowi Rolnictwa i Rozwoju Wsi - liczba uczestników 90 osób ; (2) Organizacja cyklu wizyt doradców rolniczych w instytutach naukowo-badawczych łaczna liczba uczestników 177 Dane ze stron targowych lub informacja od organizatora targów, liczba oób odiwedzjących targi: targi AgroPark w Lublinie 22.104;  Targi Agrotech w Kielcach 64.330;  Wystawa Zwierząt Hodowlanych w Szepietowie 100.000;  targi Agrotech w Minikowie 35.000; Krajowa Wystawa Rolnicza oraz Dożynki Jasnogórskie w Częstochowie 80.000;  Dni z Doradztwem Rolniczym w Siedlcach 100.000; Dożynki Prezydenckie 15.000; targi AGROSHOW  w Bednarach 140.000. Dane ze stron targowych, liczba osób odwiedzających targi: projekt o zasięgu miedzynarodowym- Grune Woche w Berlinie  380.000;  projekt o zasięgu miedzynarodowym- BioFach 48.533;  Natura Food 12.000; liczba uczestników finału 12052 edycji ogólnoplskiego konkursu dla szkół gastronomicznych 52 osoby. Krajowy Kongres Rolnictwa Rzeczypospolitej Polskiej - 73 osoby1) Upowszechnianie wiedzy w zakresie systemów jakości zywności (konferencja i konkurs)
2) Z pola do Garnka - współpraca rolników ekologicznych w skracaniu łańcucha dostaw (szkolenia, wyjazdy studyjne)
3) Zespół ekspertów na rzecz wymogów ochrony środowiska i zmian klimatu (szkolenia)
4) Kierunek rozwój (konferencja)
5) Ekolider.pl LGD dla zrównoważonego rozwoju. Środowisko, klimat, ekoinnowacje w operacjach RLKS (konkurs 1, szkolenie 10, wyjazd studyjny 3)
6) Wyjazd studyjny do Portugalii w celu wymiany wiedzy z zakresu klęsk żywiołowych ze szczególnym uwzględnieniem suszy
7) Międzynarodowe warsztaty nt. ubustwa i wykluczenia na wsi (szkolenie, wyjazd studyjny)
8) Rolniczy Handel Detalicxzny ważnym elementem zrównoważonego rozwoju obszarów wiejskich (4 konferencje)
9) Zrównoważony rozwój regionu w oparciu o certyfikowane produkty tradycyjne (wyjazd studyjny, konferencja)
10) Puls wsi, czyli partycypacja umacnia lokalną synergię wsi (seminarium-3, konferencja-1)
11) Wyjazd studyjny-od bacówki do fabryki, dobre praktyki (wyjazd studyjny)
12) Sieci współpracy w turystyce wiejskiej - stan obecny i nowe wyzwania (konferencja) 
13) Zwiększenie efektywności doradztwa we wspieraniu innowacyjności w rolnictwie (konferencja)
14) Komercjalizacja działalności LGD formą budowy potencjału organizacyjnego (szkolenie)
15) Gospodarstwa opikuńcze - rozwijanie usług społecznych na obszarach wiejskich (szkolenia 16)
16) Przyróćmy Wisłę mieszkańcom obszarów wiejskich (szkolenie -4, wyjazd studyjny -4)
17) WPR po 2020 r.  (konferencje -4)
18) Upowszechnianie dobrych praktyk w farmerskiej produkcji sera (seminaria-13 dla PLW oraz dla doradców rolniczych, producentów, LGD, przedstawicieli organizacji pozarządowych)
1) 2 Jednodniowe konferencje nt. rezultatów realizacji PROW 2014-2020 z uwzględnieniem doświadczeń z perspektywy 2007-2013 oraz punkt informacyjny/doradczy (DROW)
2) "Transfer wiedzy i działalność informacyjna" (2 spotkania Spotkania podczas Sierpeckich Dni Rolnika w Studzieńcu miały charakter regionalny. Spotkania z nauczycielami ze szkół prowadzonych przez Ministra Rolnictwa i Rozwoju Wsi miały charakter krajowy). (SSO)
3) Organizacja konkursów promujących i informujących o PROW 2014-2020 (konkurs Sposób na sukces oraz na najlepsze wydwnictwo ODR) (SAR)
RR
Dane ze stron targowych lub informacja od organizatora targów, liczba osób odwiedzjących targi:
1) Targi AgroPark w Lublinie: 27 102
2) Międzynarodowe Targi Techniki Rolniczej AGROTECH w Kielcach: 71 250
3) Regionalna Wystawa Zwierząt Hodowlanych w Szepietowie 100 000
4) XXVI Krajowa Wystawa Rolnicza oraz Ogólnopolskie Dożynki Jasnogórskie w Częstochowie: 80 000
5) Dożynki Prezydenckie w Spale: 3 800
6) XL Międzynarodowe Targi Rolno-Przemysłowye AGRO-TECH połączone z Regionalną Wystawą Zwierząt Hodowlanych w Minikowie: 30 000
7) XXIV Regionalna Wystawa Zwierząt Hodowlanych i Dni z Doradztwem Rolniczym w Szepietowie: 100 000
8) Międzynarodowa Wystawa Rolnicza AGRO SHOW w Bendarach: 112 000
9) XXIX Międzynarodowe Dni z Doradztwem Rolniczym połączone z XIII Regionalną Wystawą Zwierząt Hodowlanych w Siedlcach: 80 000
10) Uczestnicy seminariów/szkoleń/spotkań/konferencji informacyjnych nt.  Systemu Chronionych Nazw Pochodzenia, Chronionych Oznaczeń Geograficznych oraz Gwarantowanych Tradycyjnych Specjalności w celu przedstawienia działań wspierających ten sektor w ramach PROW 2014-2020 - dane na podstawie list obecności 550 os.DROW
1.  2 cykle dwudniowych warsztatów, z których każdy składał się z 8 warsztatów;
2. 1 cykl jednodniowych warsztatów składający się z 8 spotkań;
3. 2 jednodniowe szkolenia;
4. umożliwienie udziału przedstawicieli LGD w 4 zagranicznych spotkaniach mających na celu skojarzenie potencjalnych partnerów projektów współpracy międzynarodowej
DGZ
1. Obszar tematyczny: Promocja zrównoważonego rozwoju Obszarów Wiejskich  (operacja: XLI Ogólnopolskiego Konkursu Jakości Prac Scaleniowych promujacego doświadczenia i najlepsze stosowane praktyki)
SSO
1) "Olimpiada Wiedzy i Umiejętności Rolniczych" (zakup nagród rzeczowych dla laureatów);
2) "Olimpiada Wiedzy o Żywieniu i Żywności" (zakup nagród rzeczowych dla laureatów);
3)  Cykl konferencji dla dyrektorów szkół rolniczych prowadzonych przez Ministra Rolnictwa i Rozwoju Wsi dot. RPOW 2014-2020 ( 2 konferencje)
4) 8 seminariów pod nazwą: Integracja środowiska turystyki wiejskiej i agroturystyki z przedstawicielami branży turystycznej (priotytet 5 i 6);
5) organizacja stoiska "Odpoczywaj na wsi" na 8 imprezach targowo-plenerowych (priotytet 5 i 6)
6) organizacja stoiska "Odpoczywaj na wsi" na targach ITB w Berlinie  (piorytet 6 z naciskiem na promowanie rozwoju gospodarczego na obszarach wiejskich)
7) Liderki społeczności wiejskiej w procesach rozwoju lokalnego - (40 jednodniowych szkoleń)
SAR
1) 1 seminarium dla kadry zarządzajacej instytutów badawczych i jednostek doradztwa rolniczego, 2 wizyty doradców rolniczych w instytutach naukowo-badawczych, 2 spotkania informacyjne dla kadry zarządzajacej jednostkami doradztwa rolniczego
RR
Dane ze stron targowych, liczba odwiedzających tragi:  
- Grune Woche w Berlinie: 400000; 
- BioFach 51453;  
- Natura Food 12000.
- Liczba uczestników finału VI edycji ogólnoplskiego konkursu dla szkół gastronomicznych - 50 osób.Obszar tematyczny : Seminarium podsumowujące ZXL Ogólnopolski Konkurs Jakości Prac Scaleniowych</v>
      </c>
      <c r="B28" s="1855"/>
      <c r="C28" s="57">
        <v>2014</v>
      </c>
      <c r="D28" s="33"/>
      <c r="E28" s="31"/>
      <c r="F28" s="31"/>
      <c r="G28" s="58">
        <v>0</v>
      </c>
      <c r="H28" s="35"/>
      <c r="I28" s="35"/>
      <c r="J28" s="35"/>
      <c r="K28" s="35"/>
      <c r="L28" s="35"/>
      <c r="M28" s="35"/>
      <c r="N28" s="35"/>
      <c r="O28" s="35"/>
      <c r="P28" s="35"/>
      <c r="Q28" s="7"/>
    </row>
    <row r="29" spans="1:25">
      <c r="A29" s="2378"/>
      <c r="B29" s="1855"/>
      <c r="C29" s="59">
        <v>2015</v>
      </c>
      <c r="D29" s="37">
        <f>'[1]WSS 2015'!D29</f>
        <v>0</v>
      </c>
      <c r="E29" s="38">
        <f>'[1]WSS 2015'!E29</f>
        <v>275420</v>
      </c>
      <c r="F29" s="38">
        <f>'[1]WSS 2015'!F29</f>
        <v>0</v>
      </c>
      <c r="G29" s="58">
        <f>'[1]WSS 2015'!G29</f>
        <v>275420</v>
      </c>
      <c r="H29" s="35"/>
      <c r="I29" s="35"/>
      <c r="J29" s="35"/>
      <c r="K29" s="35"/>
      <c r="L29" s="35"/>
      <c r="M29" s="35"/>
      <c r="N29" s="35"/>
      <c r="O29" s="35"/>
      <c r="P29" s="35"/>
      <c r="Q29" s="7"/>
    </row>
    <row r="30" spans="1:25">
      <c r="A30" s="2378"/>
      <c r="B30" s="1855"/>
      <c r="C30" s="59">
        <v>2016</v>
      </c>
      <c r="D30" s="37">
        <v>200</v>
      </c>
      <c r="E30" s="38">
        <v>594270</v>
      </c>
      <c r="F30" s="38">
        <v>428554</v>
      </c>
      <c r="G30" s="58">
        <v>1023024</v>
      </c>
      <c r="H30" s="35"/>
      <c r="I30" s="35"/>
      <c r="J30" s="35"/>
      <c r="K30" s="35"/>
      <c r="L30" s="35"/>
      <c r="M30" s="35"/>
      <c r="N30" s="35"/>
      <c r="O30" s="35"/>
      <c r="P30" s="35"/>
      <c r="Q30" s="7"/>
    </row>
    <row r="31" spans="1:25">
      <c r="A31" s="2378"/>
      <c r="B31" s="1855"/>
      <c r="C31" s="59">
        <v>2017</v>
      </c>
      <c r="D31" s="37">
        <v>223</v>
      </c>
      <c r="E31" s="38">
        <v>760666</v>
      </c>
      <c r="F31" s="38">
        <v>611453</v>
      </c>
      <c r="G31" s="32">
        <v>1372342</v>
      </c>
      <c r="H31" s="35"/>
      <c r="I31" s="35"/>
      <c r="J31" s="35"/>
      <c r="K31" s="35"/>
      <c r="L31" s="35"/>
      <c r="M31" s="35"/>
      <c r="N31" s="35"/>
      <c r="O31" s="35"/>
      <c r="P31" s="35"/>
      <c r="Q31" s="7"/>
    </row>
    <row r="32" spans="1:25">
      <c r="A32" s="2378"/>
      <c r="B32" s="1855"/>
      <c r="C32" s="59">
        <v>2018</v>
      </c>
      <c r="D32" s="39"/>
      <c r="E32" s="38"/>
      <c r="F32" s="38"/>
      <c r="G32" s="58">
        <v>0</v>
      </c>
      <c r="H32" s="35"/>
      <c r="I32" s="35"/>
      <c r="J32" s="35"/>
      <c r="K32" s="35"/>
      <c r="L32" s="35"/>
      <c r="M32" s="35"/>
      <c r="N32" s="35"/>
      <c r="O32" s="35"/>
      <c r="P32" s="35"/>
      <c r="Q32" s="7"/>
    </row>
    <row r="33" spans="1:17">
      <c r="A33" s="2378"/>
      <c r="B33" s="1855"/>
      <c r="C33" s="60">
        <v>2019</v>
      </c>
      <c r="D33" s="39"/>
      <c r="E33" s="38"/>
      <c r="F33" s="38"/>
      <c r="G33" s="58">
        <v>0</v>
      </c>
      <c r="H33" s="35"/>
      <c r="I33" s="35"/>
      <c r="J33" s="35"/>
      <c r="K33" s="35"/>
      <c r="L33" s="35"/>
      <c r="M33" s="35"/>
      <c r="N33" s="35"/>
      <c r="O33" s="35"/>
      <c r="P33" s="35"/>
      <c r="Q33" s="7"/>
    </row>
    <row r="34" spans="1:17">
      <c r="A34" s="2378"/>
      <c r="B34" s="1855"/>
      <c r="C34" s="59">
        <v>2020</v>
      </c>
      <c r="D34" s="39"/>
      <c r="E34" s="38"/>
      <c r="F34" s="38"/>
      <c r="G34" s="58">
        <v>0</v>
      </c>
      <c r="H34" s="35"/>
      <c r="I34" s="35"/>
      <c r="J34" s="35"/>
      <c r="K34" s="35"/>
      <c r="L34" s="35"/>
      <c r="M34" s="35"/>
      <c r="N34" s="35"/>
      <c r="O34" s="35"/>
      <c r="P34" s="35"/>
      <c r="Q34" s="7"/>
    </row>
    <row r="35" spans="1:17" ht="20.25" customHeight="1" thickBot="1">
      <c r="A35" s="1856"/>
      <c r="B35" s="1857"/>
      <c r="C35" s="61" t="s">
        <v>13</v>
      </c>
      <c r="D35" s="46">
        <v>223</v>
      </c>
      <c r="E35" s="44">
        <v>760666</v>
      </c>
      <c r="F35" s="44">
        <v>611453</v>
      </c>
      <c r="G35" s="48">
        <v>1372342</v>
      </c>
      <c r="H35" s="35"/>
      <c r="I35" s="35"/>
      <c r="J35" s="35"/>
      <c r="K35" s="35"/>
      <c r="L35" s="35"/>
      <c r="M35" s="35"/>
      <c r="N35" s="35"/>
      <c r="O35" s="35"/>
      <c r="P35" s="35"/>
      <c r="Q35" s="7"/>
    </row>
    <row r="36" spans="1:17">
      <c r="A36" s="1801"/>
      <c r="B36" s="1801"/>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1815" t="s">
        <v>26</v>
      </c>
      <c r="B39" s="1816" t="s">
        <v>171</v>
      </c>
      <c r="C39" s="68" t="s">
        <v>9</v>
      </c>
      <c r="D39" s="1750" t="s">
        <v>28</v>
      </c>
      <c r="E39" s="70" t="s">
        <v>29</v>
      </c>
      <c r="F39" s="71"/>
      <c r="G39" s="28"/>
      <c r="H39" s="28"/>
    </row>
    <row r="40" spans="1:17">
      <c r="A40" s="2408" t="str">
        <f>CONCATENATE('[1]WSS 2015'!B40:B47,'[1]WSS 2016_2017 stan 31.12.2017'!A40:B47)</f>
        <v xml:space="preserve">       Upowszechnianie dobrych praktyk w farmerskiej produkcji sera (strona internetowa)</v>
      </c>
      <c r="B40" s="1855"/>
      <c r="C40" s="72">
        <v>2014</v>
      </c>
      <c r="D40" s="30"/>
      <c r="E40" s="29"/>
      <c r="F40" s="7"/>
      <c r="G40" s="35"/>
      <c r="H40" s="35"/>
    </row>
    <row r="41" spans="1:17">
      <c r="A41" s="2378"/>
      <c r="B41" s="1855"/>
      <c r="C41" s="73">
        <v>2015</v>
      </c>
      <c r="D41" s="37">
        <f>'[1]WSS 2015'!D41</f>
        <v>0</v>
      </c>
      <c r="E41" s="36">
        <f>'[1]WSS 2015'!E41</f>
        <v>0</v>
      </c>
      <c r="F41" s="7"/>
      <c r="G41" s="35"/>
      <c r="H41" s="35"/>
    </row>
    <row r="42" spans="1:17">
      <c r="A42" s="2378"/>
      <c r="B42" s="1855"/>
      <c r="C42" s="73">
        <v>2016</v>
      </c>
      <c r="D42" s="37">
        <v>0</v>
      </c>
      <c r="E42" s="36">
        <v>0</v>
      </c>
      <c r="F42" s="7"/>
      <c r="G42" s="35"/>
      <c r="H42" s="35"/>
    </row>
    <row r="43" spans="1:17">
      <c r="A43" s="2378"/>
      <c r="B43" s="1855"/>
      <c r="C43" s="73">
        <v>2017</v>
      </c>
      <c r="D43" s="37">
        <v>1296</v>
      </c>
      <c r="E43" s="38">
        <v>0</v>
      </c>
      <c r="F43" s="7"/>
      <c r="G43" s="35"/>
      <c r="H43" s="35"/>
    </row>
    <row r="44" spans="1:17">
      <c r="A44" s="2378"/>
      <c r="B44" s="1855"/>
      <c r="C44" s="73">
        <v>2018</v>
      </c>
      <c r="D44" s="37"/>
      <c r="E44" s="36"/>
      <c r="F44" s="7"/>
      <c r="G44" s="35"/>
      <c r="H44" s="35"/>
    </row>
    <row r="45" spans="1:17">
      <c r="A45" s="2378"/>
      <c r="B45" s="1855"/>
      <c r="C45" s="73">
        <v>2019</v>
      </c>
      <c r="D45" s="37"/>
      <c r="E45" s="36"/>
      <c r="F45" s="7"/>
      <c r="G45" s="35"/>
      <c r="H45" s="35"/>
    </row>
    <row r="46" spans="1:17">
      <c r="A46" s="2378"/>
      <c r="B46" s="1855"/>
      <c r="C46" s="73">
        <v>2020</v>
      </c>
      <c r="D46" s="37"/>
      <c r="E46" s="36"/>
      <c r="F46" s="7"/>
      <c r="G46" s="35"/>
      <c r="H46" s="35"/>
    </row>
    <row r="47" spans="1:17" ht="15.75" thickBot="1">
      <c r="A47" s="1856"/>
      <c r="B47" s="1857"/>
      <c r="C47" s="42" t="s">
        <v>13</v>
      </c>
      <c r="D47" s="43">
        <v>1296</v>
      </c>
      <c r="E47" s="455">
        <v>0</v>
      </c>
      <c r="F47" s="78"/>
      <c r="G47" s="35"/>
      <c r="H47" s="35"/>
    </row>
    <row r="48" spans="1:17" s="35" customFormat="1" ht="15.75" thickBot="1">
      <c r="A48" s="1817"/>
      <c r="B48" s="80"/>
      <c r="C48" s="81"/>
    </row>
    <row r="49" spans="1:15" ht="83.25" customHeight="1">
      <c r="A49" s="1753" t="s">
        <v>32</v>
      </c>
      <c r="B49" s="1816" t="s">
        <v>171</v>
      </c>
      <c r="C49" s="84" t="s">
        <v>9</v>
      </c>
      <c r="D49" s="1750" t="s">
        <v>34</v>
      </c>
      <c r="E49" s="85" t="s">
        <v>35</v>
      </c>
      <c r="F49" s="85" t="s">
        <v>36</v>
      </c>
      <c r="G49" s="85" t="s">
        <v>37</v>
      </c>
      <c r="H49" s="85" t="s">
        <v>38</v>
      </c>
      <c r="I49" s="85" t="s">
        <v>39</v>
      </c>
      <c r="J49" s="85" t="s">
        <v>40</v>
      </c>
      <c r="K49" s="86" t="s">
        <v>41</v>
      </c>
    </row>
    <row r="50" spans="1:15" ht="17.25" customHeight="1">
      <c r="A50" s="1872" t="s">
        <v>585</v>
      </c>
      <c r="B50" s="1879"/>
      <c r="C50" s="87" t="s">
        <v>43</v>
      </c>
      <c r="D50" s="30"/>
      <c r="E50" s="31"/>
      <c r="F50" s="31"/>
      <c r="G50" s="31"/>
      <c r="H50" s="31"/>
      <c r="I50" s="31"/>
      <c r="J50" s="31"/>
      <c r="K50" s="34"/>
    </row>
    <row r="51" spans="1:15" ht="15" customHeight="1">
      <c r="A51" s="2408"/>
      <c r="B51" s="1881"/>
      <c r="C51" s="73">
        <v>2014</v>
      </c>
      <c r="D51" s="37"/>
      <c r="E51" s="38"/>
      <c r="F51" s="38"/>
      <c r="G51" s="38"/>
      <c r="H51" s="38"/>
      <c r="I51" s="38"/>
      <c r="J51" s="38"/>
      <c r="K51" s="88"/>
    </row>
    <row r="52" spans="1:15">
      <c r="A52" s="2408"/>
      <c r="B52" s="1881"/>
      <c r="C52" s="73">
        <v>2015</v>
      </c>
      <c r="D52" s="37">
        <f>'[1]WSS 2015'!D52</f>
        <v>0</v>
      </c>
      <c r="E52" s="37">
        <f>'[1]WSS 2015'!E52</f>
        <v>0</v>
      </c>
      <c r="F52" s="37">
        <f>'[1]WSS 2015'!F52</f>
        <v>0</v>
      </c>
      <c r="G52" s="37">
        <f>'[1]WSS 2015'!G52</f>
        <v>0</v>
      </c>
      <c r="H52" s="37">
        <f>'[1]WSS 2015'!H52</f>
        <v>0</v>
      </c>
      <c r="I52" s="37">
        <f>'[1]WSS 2015'!I52</f>
        <v>0</v>
      </c>
      <c r="J52" s="37">
        <f>'[1]WSS 2015'!J52</f>
        <v>0</v>
      </c>
      <c r="K52" s="37">
        <f>'[1]WSS 2015'!K52</f>
        <v>0</v>
      </c>
    </row>
    <row r="53" spans="1:15">
      <c r="A53" s="2408"/>
      <c r="B53" s="1881"/>
      <c r="C53" s="73">
        <v>2016</v>
      </c>
      <c r="D53" s="37">
        <v>0</v>
      </c>
      <c r="E53" s="37">
        <v>0</v>
      </c>
      <c r="F53" s="37">
        <v>0</v>
      </c>
      <c r="G53" s="37">
        <v>0</v>
      </c>
      <c r="H53" s="37">
        <v>0</v>
      </c>
      <c r="I53" s="37">
        <v>0</v>
      </c>
      <c r="J53" s="37">
        <v>0</v>
      </c>
      <c r="K53" s="37">
        <v>0</v>
      </c>
    </row>
    <row r="54" spans="1:15">
      <c r="A54" s="2408"/>
      <c r="B54" s="1881"/>
      <c r="C54" s="73">
        <v>2017</v>
      </c>
      <c r="D54" s="37">
        <v>0</v>
      </c>
      <c r="E54" s="37">
        <v>0</v>
      </c>
      <c r="F54" s="37">
        <v>0</v>
      </c>
      <c r="G54" s="37">
        <v>0</v>
      </c>
      <c r="H54" s="37">
        <v>0</v>
      </c>
      <c r="I54" s="37">
        <v>0</v>
      </c>
      <c r="J54" s="37">
        <v>0</v>
      </c>
      <c r="K54" s="37">
        <v>0</v>
      </c>
    </row>
    <row r="55" spans="1:15">
      <c r="A55" s="2408"/>
      <c r="B55" s="1881"/>
      <c r="C55" s="73">
        <v>2018</v>
      </c>
      <c r="D55" s="37"/>
      <c r="E55" s="38"/>
      <c r="F55" s="38"/>
      <c r="G55" s="38"/>
      <c r="H55" s="38"/>
      <c r="I55" s="38"/>
      <c r="J55" s="38"/>
      <c r="K55" s="88"/>
    </row>
    <row r="56" spans="1:15">
      <c r="A56" s="2408"/>
      <c r="B56" s="1881"/>
      <c r="C56" s="73">
        <v>2019</v>
      </c>
      <c r="D56" s="37"/>
      <c r="E56" s="38"/>
      <c r="F56" s="38"/>
      <c r="G56" s="38"/>
      <c r="H56" s="38"/>
      <c r="I56" s="38"/>
      <c r="J56" s="38"/>
      <c r="K56" s="88"/>
    </row>
    <row r="57" spans="1:15">
      <c r="A57" s="2408"/>
      <c r="B57" s="1881"/>
      <c r="C57" s="73">
        <v>2020</v>
      </c>
      <c r="D57" s="37"/>
      <c r="E57" s="38"/>
      <c r="F57" s="38"/>
      <c r="G57" s="38"/>
      <c r="H57" s="38"/>
      <c r="I57" s="38"/>
      <c r="J57" s="38"/>
      <c r="K57" s="93"/>
    </row>
    <row r="58" spans="1:15" ht="67.5" customHeight="1" thickBot="1">
      <c r="A58" s="1876"/>
      <c r="B58" s="1883"/>
      <c r="C58" s="42" t="s">
        <v>13</v>
      </c>
      <c r="D58" s="43">
        <v>0</v>
      </c>
      <c r="E58" s="44">
        <v>0</v>
      </c>
      <c r="F58" s="44">
        <v>0</v>
      </c>
      <c r="G58" s="44">
        <v>0</v>
      </c>
      <c r="H58" s="44">
        <v>0</v>
      </c>
      <c r="I58" s="44">
        <v>0</v>
      </c>
      <c r="J58" s="44">
        <v>0</v>
      </c>
      <c r="K58" s="48">
        <v>0</v>
      </c>
    </row>
    <row r="59" spans="1:15" ht="15.75" thickBot="1"/>
    <row r="60" spans="1:15" ht="21" customHeight="1">
      <c r="A60" s="2485" t="s">
        <v>44</v>
      </c>
      <c r="B60" s="1818"/>
      <c r="C60" s="2486" t="s">
        <v>9</v>
      </c>
      <c r="D60" s="2417" t="s">
        <v>45</v>
      </c>
      <c r="E60" s="1541" t="s">
        <v>6</v>
      </c>
      <c r="F60" s="1819"/>
      <c r="G60" s="1819"/>
      <c r="H60" s="1819"/>
      <c r="I60" s="1819"/>
      <c r="J60" s="1819"/>
      <c r="K60" s="1819"/>
      <c r="L60" s="1820"/>
    </row>
    <row r="61" spans="1:15" ht="115.5" customHeight="1">
      <c r="A61" s="2428"/>
      <c r="B61" s="373" t="s">
        <v>171</v>
      </c>
      <c r="C61" s="1972"/>
      <c r="D61" s="1942"/>
      <c r="E61" s="100" t="s">
        <v>14</v>
      </c>
      <c r="F61" s="101" t="s">
        <v>15</v>
      </c>
      <c r="G61" s="101" t="s">
        <v>16</v>
      </c>
      <c r="H61" s="102" t="s">
        <v>17</v>
      </c>
      <c r="I61" s="102" t="s">
        <v>18</v>
      </c>
      <c r="J61" s="103" t="s">
        <v>19</v>
      </c>
      <c r="K61" s="101" t="s">
        <v>20</v>
      </c>
      <c r="L61" s="104" t="s">
        <v>21</v>
      </c>
      <c r="M61" s="105"/>
      <c r="N61" s="7"/>
      <c r="O61" s="7"/>
    </row>
    <row r="62" spans="1:15" ht="15" customHeight="1">
      <c r="A62" s="2408" t="str">
        <f>CONCATENATE('[1]WSS 2015'!B62:B69,'[1]WSS 2016_2017 stan 31.12.2017'!A62:B69)</f>
        <v>1. Zamieszczenie w Kalendarzu Rolników na 2016 rok materiału informacyjno-promocyjnego MRiRW dotyczącego efektów realizacji PROW 2007-2013 ora PROW 2014-2020 -nakład 300 000
2. Zamieszczenie w wydaniu okolicznościowym "Gazety targowej", materiału informacyjno-promocyjnego MRiRW dotyczącego efektów realizacji PROW 2017-2013 oraz PROW 2014-2020 - nakład 3 000
3. Wykonanie kalendarzy  w ilości 2000 szt.
4. Publikacja 10 artykułów 1.Kalendarze na 2017 r. promujace działania obszarowe PROW 2014-2020;                                                                                                                                                                                                                                                                                                                            2. Drukowane materiały informacyjno-promocyjne dla działań obszarowych PROW 2014-2020.   600 egz. kalendarzy na 2017 r., power banki 150 szt., wiatromierze 33 szt., deszczomierze 33 szt., testery pH 33 szt. Informator o instytutach  badawczych nadzorowanych przez Ministra Rolnictwa i Rozwoju Wsi- liczba egzemplarzy 1000 sztuk Wydanie publikacji informacyjnej  z zakresu systemu Chronionych Nazw Pochodzenia, Chronionych Oznaczeń Geograficzych, Gwarantowanych Tradycyjnych Specjalności- roztrzygnięcie konkursu na przepis kulinarny ( 5.000 egz.);  zamieszczenie w Kalendarzu Rolników na 2017 rok materiału informacyjno-promocyjnego dot. PROW 2014-2020 (1 artykuł 1 tj. 18 stron w nakładzie 250.000 ); wykonanie materiałów promocyjnych PROW 2014-2020 ( 18.200 sztuk). 1) Zespół ekspertów na rzecz wymogów ochrony środowiska i zmian klimatu (4 rodzaje publikacji)
2) Rola zasobów lokalnych w rozwoju wsi - dwie publikacje naukowe - (2 tomy po 250 egz. każdy - studia obszarów wiejskich - przypadki wykorzystania zasobów lokalnych w rozwoju obszarów wiejskich - 2 tomy)
3) Puls wsi, czyli partycypacja umacnia lokalną synergię wsi (publikacja)
4) Sieci współpracy w turystyce wiejskiej - stan obecny i nowe wyzwania (publikacja)
5) Zwiększenie efektywności doradztwa we wspieraniu innowacyjności w rolnictwie (publikacje - 1 ekspertyza)
6) Komercjalizacja działalności LGD formą budowy potencjału organizacyjnego (publikacja)
7) Działania informacyjno-promocyjne dot. zawodu rzeźnika (publikacja)
8) Gospodarstwa opikuńcze - rozwijanie usług społecznych na obszarach wiejskich (publikacja na CD)
9)Przyróćmy Wisłę mieszkańcom obszarów wiejskich (publikacja)
10)WPR po 2020 r.  (publikacja)
11) Racjonalna i zasobooszczędna gospodarka zasobami w rolnictwie i na obszarach wiejskich (publikacja -2)
12) Upowszechnianie dobrych praktyk w farmerskiej produkcji sera (poradnik)
DPB
1.Kalendarze na 2018 r. promujace działania obszarowe PROW 2014-2020 (2 000 egzemplarzy)                                                                                                                                                                                                                                                                                                                       2. Drukowane materiały informacyjno-promocyjne dla działań obszarowych PROW 2014-2020 (44 500 egzemplarzy)
SSO
Zakup materiałów informacyjno-promocyjnych w zakresie PROW 2014-2020
SAR
Zakup gadżetów promocyjnych
RR
 Zamieszczenie w „Kalendarzu Rolników” na 2017 i 2018 rok materiału informacyjno-promocyjnego MRiRW dotyczącego PROW 2014-2020.
DROW
Zakup gadżetów promocyjnych</v>
      </c>
      <c r="B62" s="1855"/>
      <c r="C62" s="106">
        <v>2014</v>
      </c>
      <c r="D62" s="107"/>
      <c r="E62" s="108"/>
      <c r="F62" s="109"/>
      <c r="G62" s="109"/>
      <c r="H62" s="109"/>
      <c r="I62" s="109"/>
      <c r="J62" s="109"/>
      <c r="K62" s="109"/>
      <c r="L62" s="34"/>
      <c r="M62" s="7"/>
      <c r="N62" s="7"/>
      <c r="O62" s="7"/>
    </row>
    <row r="63" spans="1:15">
      <c r="A63" s="2378"/>
      <c r="B63" s="1855"/>
      <c r="C63" s="110">
        <v>2015</v>
      </c>
      <c r="D63" s="37">
        <f>'[1]WSS 2015'!D63</f>
        <v>13</v>
      </c>
      <c r="E63" s="37">
        <f>'[1]WSS 2015'!E63</f>
        <v>0</v>
      </c>
      <c r="F63" s="38">
        <f>'[1]WSS 2015'!F63</f>
        <v>0</v>
      </c>
      <c r="G63" s="38">
        <f>'[1]WSS 2015'!G63</f>
        <v>0</v>
      </c>
      <c r="H63" s="38">
        <f>'[1]WSS 2015'!H63</f>
        <v>0</v>
      </c>
      <c r="I63" s="38">
        <f>'[1]WSS 2015'!I63</f>
        <v>0</v>
      </c>
      <c r="J63" s="38">
        <f>'[1]WSS 2015'!J63</f>
        <v>0</v>
      </c>
      <c r="K63" s="38">
        <f>'[1]WSS 2015'!K63</f>
        <v>0</v>
      </c>
      <c r="L63" s="88">
        <f>'[1]WSS 2015'!L63</f>
        <v>13</v>
      </c>
      <c r="M63" s="7"/>
      <c r="N63" s="7"/>
      <c r="O63" s="7"/>
    </row>
    <row r="64" spans="1:15">
      <c r="A64" s="2378"/>
      <c r="B64" s="1855"/>
      <c r="C64" s="110">
        <v>2016</v>
      </c>
      <c r="D64" s="37">
        <v>15</v>
      </c>
      <c r="E64" s="37">
        <v>6</v>
      </c>
      <c r="F64" s="37">
        <v>1</v>
      </c>
      <c r="G64" s="37">
        <v>5</v>
      </c>
      <c r="H64" s="37">
        <v>0</v>
      </c>
      <c r="I64" s="37">
        <v>0</v>
      </c>
      <c r="J64" s="37">
        <v>0</v>
      </c>
      <c r="K64" s="37">
        <v>0</v>
      </c>
      <c r="L64" s="37">
        <v>3</v>
      </c>
      <c r="M64" s="7"/>
      <c r="N64" s="7"/>
      <c r="O64" s="7"/>
    </row>
    <row r="65" spans="1:20">
      <c r="A65" s="2378"/>
      <c r="B65" s="1855"/>
      <c r="C65" s="110">
        <v>2017</v>
      </c>
      <c r="D65" s="37">
        <v>23</v>
      </c>
      <c r="E65" s="37">
        <v>7</v>
      </c>
      <c r="F65" s="37">
        <v>0</v>
      </c>
      <c r="G65" s="37">
        <v>4</v>
      </c>
      <c r="H65" s="37">
        <v>3</v>
      </c>
      <c r="I65" s="37">
        <v>0</v>
      </c>
      <c r="J65" s="37">
        <v>1</v>
      </c>
      <c r="K65" s="37">
        <v>1</v>
      </c>
      <c r="L65" s="37">
        <v>7</v>
      </c>
      <c r="M65" s="7"/>
      <c r="N65" s="7"/>
      <c r="O65" s="7"/>
    </row>
    <row r="66" spans="1:20">
      <c r="A66" s="2378"/>
      <c r="B66" s="1855"/>
      <c r="C66" s="110">
        <v>2018</v>
      </c>
      <c r="D66" s="111"/>
      <c r="E66" s="112"/>
      <c r="F66" s="38"/>
      <c r="G66" s="38"/>
      <c r="H66" s="38"/>
      <c r="I66" s="38"/>
      <c r="J66" s="38"/>
      <c r="K66" s="38"/>
      <c r="L66" s="88"/>
      <c r="M66" s="7"/>
      <c r="N66" s="7"/>
      <c r="O66" s="7"/>
    </row>
    <row r="67" spans="1:20" ht="17.25" customHeight="1">
      <c r="A67" s="2378"/>
      <c r="B67" s="1855"/>
      <c r="C67" s="110">
        <v>2019</v>
      </c>
      <c r="D67" s="111"/>
      <c r="E67" s="112"/>
      <c r="F67" s="38"/>
      <c r="G67" s="38"/>
      <c r="H67" s="38"/>
      <c r="I67" s="38"/>
      <c r="J67" s="38"/>
      <c r="K67" s="38"/>
      <c r="L67" s="88"/>
      <c r="M67" s="7"/>
      <c r="N67" s="7"/>
      <c r="O67" s="7"/>
    </row>
    <row r="68" spans="1:20" ht="16.5" customHeight="1">
      <c r="A68" s="2378"/>
      <c r="B68" s="1855"/>
      <c r="C68" s="110">
        <v>2020</v>
      </c>
      <c r="D68" s="111"/>
      <c r="E68" s="112"/>
      <c r="F68" s="38"/>
      <c r="G68" s="38"/>
      <c r="H68" s="38"/>
      <c r="I68" s="38"/>
      <c r="J68" s="38"/>
      <c r="K68" s="38"/>
      <c r="L68" s="88"/>
      <c r="M68" s="78"/>
      <c r="N68" s="78"/>
      <c r="O68" s="78"/>
    </row>
    <row r="69" spans="1:20" ht="18" customHeight="1" thickBot="1">
      <c r="A69" s="1856"/>
      <c r="B69" s="1857"/>
      <c r="C69" s="113" t="s">
        <v>13</v>
      </c>
      <c r="D69" s="114">
        <v>109330</v>
      </c>
      <c r="E69" s="115">
        <v>1501</v>
      </c>
      <c r="F69" s="116">
        <v>0</v>
      </c>
      <c r="G69" s="116">
        <v>20002</v>
      </c>
      <c r="H69" s="116">
        <v>931</v>
      </c>
      <c r="I69" s="116">
        <v>0</v>
      </c>
      <c r="J69" s="116"/>
      <c r="K69" s="116">
        <v>8000</v>
      </c>
      <c r="L69" s="117">
        <v>2001</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1803" t="s">
        <v>47</v>
      </c>
      <c r="B71" s="1816" t="s">
        <v>171</v>
      </c>
      <c r="C71" s="68" t="s">
        <v>9</v>
      </c>
      <c r="D71" s="123" t="s">
        <v>49</v>
      </c>
      <c r="E71" s="123" t="s">
        <v>50</v>
      </c>
      <c r="F71" s="124" t="s">
        <v>51</v>
      </c>
      <c r="G71" s="1754" t="s">
        <v>52</v>
      </c>
      <c r="H71" s="126" t="s">
        <v>14</v>
      </c>
      <c r="I71" s="127" t="s">
        <v>15</v>
      </c>
      <c r="J71" s="128" t="s">
        <v>16</v>
      </c>
      <c r="K71" s="127" t="s">
        <v>17</v>
      </c>
      <c r="L71" s="127" t="s">
        <v>18</v>
      </c>
      <c r="M71" s="129" t="s">
        <v>19</v>
      </c>
      <c r="N71" s="128" t="s">
        <v>20</v>
      </c>
      <c r="O71" s="130" t="s">
        <v>21</v>
      </c>
    </row>
    <row r="72" spans="1:20" ht="15" customHeight="1">
      <c r="A72" s="2408" t="str">
        <f>CONCATENATE('[1]WSS 2015'!B72:B79,'[1]WSS 2016_2017 stan 31.12.2017'!A72:B79)</f>
        <v xml:space="preserve">1. Produkcja i emisja audycji na antenie Programu Pierwszego Polskiego Radia, dotycząca efektów realizacji PROW 2007-2013 oraz prezentujących PROW 2014-2020 oraz umieszczanie audycji w wersji dźwiękowej na portalu - 18 audycji i strona internetowa
2. Produkcja i emisja magazynu rolniczego pt. "Magazyn Wielkopolskich Rolników" prezentującego efekty realizacji PROW 2007-2013 oraz nowy okres programowania -PROW 2014020 na antenie Radia Merkury - 30 audycji i strona internetowa 
3. Produkcja i emisja  programów radiowych pt. "Radiowe Dożynki 2015, czyli nowe perspektywy dla rolnictwa wschodniej Polski w ramach nowej perspektywy finansowej i działania PROW 2014-2020, prezentujących efekty realizacji PROW 2007-2013 oraz nowy okres oprogramowania na antenie Katolickiego Radia Podlasie - 8 audycji i strona internetowa
4. Emisja watków na temat efektów realizacji PROW 2007-2013 oraz 2014-2020 w programie "Dzień dobry w sobote" - 6 audycji.
5. Kampania informacyjno-edukacyjna na temat PROW 2014-2020 oraz efektów realizacji PROW 2007-2013 w audycji "Wielki test o zywności. Polska Smakuje"     Kampania informacyjno-edukacyjna dotycząca PROW 2014-2020 na antenie Telwizji Polskiej S.A - Program 1 w audycj pt. "Magazyn Rolniczy" (6); Kampania informacyjno-edukacyjna dotycząca PROW 2014-2020 na antenie Telwizji Polskiej S.A - Program 1 w audycj pt. "Dzień Dobry w Sobotę";  (13);Kampania informacyjno-edukacyjna dotycząca PROW 2014-2020 na antenie Telwizji Polskiej S.A - Program 1 w audycj pt. Wielki Test o Żywności. Polska Smakuje" (1) Zorganizowanie i przeprowadzenie V edycji Konkursu dla szkół gastronomicznych na przepisy wykorzystujące produkty uczestniczące w systemie Chronionych Nazw Pochodzenia, Chronionych Oznaczeń Geograficznych oraz Gwarantowanych Tradycyjnych Specjalności;
produkcja i emisja audycji rolniczej o charakterze informacyjno-publicystycznym pod nazwą "Forum Rolnika" na antenie rozgłośni regionalnej: Polskiego Radia-Regionalnej Rozgłośni w Olsztynie Radio Olsztyn S.A. (16),
emisja audycji rolniczej o charakterze informacyjno-publicystycznym pod nazwą "Forum Rolnika" na antenach rozgłośni regionalnych: Polskiego Radia-Regionalnej Rozgłośni w Lublinie „Radio Lublin” S.A., Polskiego Radia-Regionalnej Rozgłośni w Białymstoku „Radio Białystok” S.A., Polskiego Radia-Regionalnej Rozgłośni w Koszalinie „Radio Koszalin” S.A., Polskiego Radia-Regionalnej Rozgłośni w Poznaniu „Radio Merkury” S.A., Polskiego Radia-Regionalnej Rozgłośni w Bydgoszczy "Polskie Radio Pomorza i Kujaw" S.A., Polskiego Radia-Regionalnej Rozgłośni w Warszawie „Radio Dla Ciebie” S.A., "Polskiego Radia Rzeszów"- Rozgłośni Regionalnej w Rzeszowie S.A.,  Polskiego Radia-Regionalnej Rozgłośni w Szczecinie „Polskie Radio Szczecin” S.A., Polskiego Radia-Regionalnej Rozgłośni w Zielonej Górze „Radio Zachód” S.A., Polskiego Radia-Regionalnej Rozgłośni w Kielcach „Radio Kielce” S.A.(132),
 Polskiego Radia-Regionalnej Rozgłośni w Łodzi „Radio Łódź” S.A.; Produkcja i emisja 3-minutowych audycji AgroFakty, na antenie Programu Pierwszego Polskiego Radia S.A. (14) 1) Rolniczy Handel Detalicxzny ważnym elementem zrównoważonego rozwoju obszarów wiejskich (audycje)
2) Działania informacyjno-promocyjne dot. zawodu rzeźnika (produkcja i emisja filmu)
3)Przyróćmy Wisłę mieszkańcom obszarów wiejskich (film -4)
RR
1) Zorganizowanie i przeprowadzenie VI edycji Konkursu dla szkół gastronomicznych na przepisy wykorzystujące produkty uczestniczące w systemie Chronionych Nazw Pochodzenia, Chronionych Oznaczeń Geograficznych oraz Gwarantowanych Tradycyjnych Specjalności;
2) Produkcja (33) i emisja radiowa audycji rolniczej o charakterze informacyjno-publicystycznym dotyczących PROW 2014-2020  pod nazwą „Forum Rolnika” na antenach regionalnych rozgłośni radiowych: Polskiego Radia - Regionalnej Rozgłośni w Olsztynie „Radio Olsztyn” S.A., Polskiego Radia-Regionalnej Rozgłośni w Białymstoku „Radio Białystok” S.A., "Polskiego Radia Rzeszów" - Rozgłośni Regionalnej w Rzeszowie S.A., Polskiego Radia-Regionalnej Rozgłośni w Kielcach „Radio Kielce” S.A., Polskiego Radia-Regionalnej Rozgłośni w Lublinie „Radio Lublin” S.A. (165)  
3) Kampania informacyjno-edukacyjna polegająca na umieszczeniu wątków na temat PROW na lata 2007-2013 oraz PROW 2014-2020 w audycjach telewizyjnych pt. : "To się opłaca" (18)
</v>
      </c>
      <c r="B72" s="1855"/>
      <c r="C72" s="72">
        <v>2014</v>
      </c>
      <c r="D72" s="131"/>
      <c r="E72" s="131"/>
      <c r="F72" s="131"/>
      <c r="G72" s="132">
        <v>0</v>
      </c>
      <c r="H72" s="30"/>
      <c r="I72" s="133"/>
      <c r="J72" s="109"/>
      <c r="K72" s="109"/>
      <c r="L72" s="109"/>
      <c r="M72" s="109"/>
      <c r="N72" s="109"/>
      <c r="O72" s="134"/>
    </row>
    <row r="73" spans="1:20">
      <c r="A73" s="2378"/>
      <c r="B73" s="1855"/>
      <c r="C73" s="73">
        <v>2015</v>
      </c>
      <c r="D73" s="37">
        <f>'[1]WSS 2015'!D73</f>
        <v>63</v>
      </c>
      <c r="E73" s="37">
        <f>'[1]WSS 2015'!E73</f>
        <v>0</v>
      </c>
      <c r="F73" s="135">
        <f>'[1]WSS 2015'!F73</f>
        <v>3</v>
      </c>
      <c r="G73" s="132">
        <f>'[1]WSS 2015'!G73</f>
        <v>66</v>
      </c>
      <c r="H73" s="37">
        <f>'[1]WSS 2015'!H73</f>
        <v>0</v>
      </c>
      <c r="I73" s="37">
        <f>'[1]WSS 2015'!I73</f>
        <v>0</v>
      </c>
      <c r="J73" s="38">
        <f>'[1]WSS 2015'!J73</f>
        <v>0</v>
      </c>
      <c r="K73" s="38">
        <f>'[1]WSS 2015'!K73</f>
        <v>0</v>
      </c>
      <c r="L73" s="38">
        <f>'[1]WSS 2015'!L73</f>
        <v>0</v>
      </c>
      <c r="M73" s="38">
        <f>'[1]WSS 2015'!M73</f>
        <v>0</v>
      </c>
      <c r="N73" s="38">
        <f>'[1]WSS 2015'!N73</f>
        <v>0</v>
      </c>
      <c r="O73" s="88">
        <f>'[1]WSS 2015'!O73</f>
        <v>66</v>
      </c>
    </row>
    <row r="74" spans="1:20">
      <c r="A74" s="2378"/>
      <c r="B74" s="1855"/>
      <c r="C74" s="73">
        <v>2016</v>
      </c>
      <c r="D74" s="37">
        <v>182</v>
      </c>
      <c r="E74" s="37">
        <v>1</v>
      </c>
      <c r="F74" s="37">
        <v>0</v>
      </c>
      <c r="G74" s="37">
        <v>183</v>
      </c>
      <c r="H74" s="37">
        <v>0</v>
      </c>
      <c r="I74" s="37">
        <v>76</v>
      </c>
      <c r="J74" s="37">
        <v>38</v>
      </c>
      <c r="K74" s="37">
        <v>0</v>
      </c>
      <c r="L74" s="37">
        <v>67</v>
      </c>
      <c r="M74" s="37">
        <v>2</v>
      </c>
      <c r="N74" s="37">
        <v>0</v>
      </c>
      <c r="O74" s="37">
        <v>0</v>
      </c>
    </row>
    <row r="75" spans="1:20">
      <c r="A75" s="2378"/>
      <c r="B75" s="1855"/>
      <c r="C75" s="73">
        <v>2017</v>
      </c>
      <c r="D75" s="37">
        <v>197</v>
      </c>
      <c r="E75" s="37">
        <v>1</v>
      </c>
      <c r="F75" s="37">
        <v>0</v>
      </c>
      <c r="G75" s="37">
        <v>198</v>
      </c>
      <c r="H75" s="37">
        <v>0</v>
      </c>
      <c r="I75" s="37">
        <v>193</v>
      </c>
      <c r="J75" s="37">
        <v>4</v>
      </c>
      <c r="K75" s="37">
        <v>1</v>
      </c>
      <c r="L75" s="37">
        <v>0</v>
      </c>
      <c r="M75" s="37">
        <v>0</v>
      </c>
      <c r="N75" s="37">
        <v>0</v>
      </c>
      <c r="O75" s="37">
        <v>0</v>
      </c>
    </row>
    <row r="76" spans="1:20">
      <c r="A76" s="2378"/>
      <c r="B76" s="1855"/>
      <c r="C76" s="73">
        <v>2018</v>
      </c>
      <c r="D76" s="135"/>
      <c r="E76" s="135"/>
      <c r="F76" s="135"/>
      <c r="G76" s="132">
        <v>0</v>
      </c>
      <c r="H76" s="37"/>
      <c r="I76" s="37"/>
      <c r="J76" s="38"/>
      <c r="K76" s="38"/>
      <c r="L76" s="38"/>
      <c r="M76" s="38"/>
      <c r="N76" s="38"/>
      <c r="O76" s="88"/>
    </row>
    <row r="77" spans="1:20" ht="15.75" customHeight="1">
      <c r="A77" s="2378"/>
      <c r="B77" s="1855"/>
      <c r="C77" s="73">
        <v>2019</v>
      </c>
      <c r="D77" s="135"/>
      <c r="E77" s="135"/>
      <c r="F77" s="135"/>
      <c r="G77" s="132">
        <v>0</v>
      </c>
      <c r="H77" s="37"/>
      <c r="I77" s="37"/>
      <c r="J77" s="38"/>
      <c r="K77" s="38"/>
      <c r="L77" s="38"/>
      <c r="M77" s="38"/>
      <c r="N77" s="38"/>
      <c r="O77" s="88"/>
    </row>
    <row r="78" spans="1:20" ht="17.25" customHeight="1">
      <c r="A78" s="2378"/>
      <c r="B78" s="1855"/>
      <c r="C78" s="73">
        <v>2020</v>
      </c>
      <c r="D78" s="135"/>
      <c r="E78" s="135"/>
      <c r="F78" s="135"/>
      <c r="G78" s="132">
        <v>0</v>
      </c>
      <c r="H78" s="37"/>
      <c r="I78" s="37"/>
      <c r="J78" s="38"/>
      <c r="K78" s="38"/>
      <c r="L78" s="38"/>
      <c r="M78" s="38"/>
      <c r="N78" s="38"/>
      <c r="O78" s="88"/>
    </row>
    <row r="79" spans="1:20" ht="20.25" customHeight="1" thickBot="1">
      <c r="A79" s="1856"/>
      <c r="B79" s="1857"/>
      <c r="C79" s="136" t="s">
        <v>13</v>
      </c>
      <c r="D79" s="114">
        <v>14</v>
      </c>
      <c r="E79" s="114">
        <v>184</v>
      </c>
      <c r="F79" s="114">
        <v>0</v>
      </c>
      <c r="G79" s="137">
        <v>198</v>
      </c>
      <c r="H79" s="138">
        <v>0</v>
      </c>
      <c r="I79" s="139">
        <v>193</v>
      </c>
      <c r="J79" s="116">
        <v>4</v>
      </c>
      <c r="K79" s="116">
        <v>1</v>
      </c>
      <c r="L79" s="116">
        <v>0</v>
      </c>
      <c r="M79" s="116">
        <v>0</v>
      </c>
      <c r="N79" s="116">
        <v>0</v>
      </c>
      <c r="O79" s="117">
        <v>0</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1804" t="s">
        <v>56</v>
      </c>
      <c r="B84" s="1821" t="s">
        <v>178</v>
      </c>
      <c r="C84" s="149" t="s">
        <v>9</v>
      </c>
      <c r="D84" s="1755" t="s">
        <v>58</v>
      </c>
      <c r="E84" s="151" t="s">
        <v>59</v>
      </c>
      <c r="F84" s="152" t="s">
        <v>60</v>
      </c>
      <c r="G84" s="152" t="s">
        <v>61</v>
      </c>
      <c r="H84" s="152" t="s">
        <v>62</v>
      </c>
      <c r="I84" s="152" t="s">
        <v>63</v>
      </c>
      <c r="J84" s="152" t="s">
        <v>64</v>
      </c>
      <c r="K84" s="153" t="s">
        <v>65</v>
      </c>
    </row>
    <row r="85" spans="1:16" ht="15" customHeight="1">
      <c r="A85" s="2408" t="str">
        <f>CONCATENATE('[1]WSS 2015'!B85:B92,'[1]WSS 2016_2017 stan 31.12.2017'!A85:B92)</f>
        <v xml:space="preserve">      </v>
      </c>
      <c r="B85" s="1855"/>
      <c r="C85" s="72">
        <v>2014</v>
      </c>
      <c r="D85" s="154"/>
      <c r="E85" s="155"/>
      <c r="F85" s="31"/>
      <c r="G85" s="31"/>
      <c r="H85" s="31"/>
      <c r="I85" s="31"/>
      <c r="J85" s="31"/>
      <c r="K85" s="34"/>
    </row>
    <row r="86" spans="1:16">
      <c r="A86" s="2378"/>
      <c r="B86" s="1855"/>
      <c r="C86" s="73">
        <v>2015</v>
      </c>
      <c r="D86" s="37">
        <f>'[1]WSS 2015'!D86</f>
        <v>0</v>
      </c>
      <c r="E86" s="37">
        <f>'[1]WSS 2015'!E86</f>
        <v>0</v>
      </c>
      <c r="F86" s="37">
        <f>'[1]WSS 2015'!F86</f>
        <v>0</v>
      </c>
      <c r="G86" s="37">
        <f>'[1]WSS 2015'!G86</f>
        <v>0</v>
      </c>
      <c r="H86" s="37">
        <f>'[1]WSS 2015'!H86</f>
        <v>0</v>
      </c>
      <c r="I86" s="37">
        <f>'[1]WSS 2015'!I86</f>
        <v>0</v>
      </c>
      <c r="J86" s="37">
        <f>'[1]WSS 2015'!J86</f>
        <v>0</v>
      </c>
      <c r="K86" s="37">
        <f>'[1]WSS 2015'!K86</f>
        <v>0</v>
      </c>
    </row>
    <row r="87" spans="1:16">
      <c r="A87" s="2378"/>
      <c r="B87" s="1855"/>
      <c r="C87" s="73">
        <v>2016</v>
      </c>
      <c r="D87" s="37">
        <v>0</v>
      </c>
      <c r="E87" s="37">
        <v>0</v>
      </c>
      <c r="F87" s="37">
        <v>0</v>
      </c>
      <c r="G87" s="37">
        <v>0</v>
      </c>
      <c r="H87" s="37">
        <v>0</v>
      </c>
      <c r="I87" s="37">
        <v>0</v>
      </c>
      <c r="J87" s="37">
        <v>0</v>
      </c>
      <c r="K87" s="37">
        <v>0</v>
      </c>
    </row>
    <row r="88" spans="1:16">
      <c r="A88" s="2378"/>
      <c r="B88" s="1855"/>
      <c r="C88" s="73">
        <v>2017</v>
      </c>
      <c r="D88" s="37">
        <v>0</v>
      </c>
      <c r="E88" s="37">
        <v>0</v>
      </c>
      <c r="F88" s="37">
        <v>0</v>
      </c>
      <c r="G88" s="37">
        <v>0</v>
      </c>
      <c r="H88" s="37">
        <v>0</v>
      </c>
      <c r="I88" s="37">
        <v>0</v>
      </c>
      <c r="J88" s="37">
        <v>0</v>
      </c>
      <c r="K88" s="37">
        <v>0</v>
      </c>
    </row>
    <row r="89" spans="1:16">
      <c r="A89" s="2378"/>
      <c r="B89" s="1855"/>
      <c r="C89" s="73">
        <v>2018</v>
      </c>
      <c r="D89" s="156"/>
      <c r="E89" s="112"/>
      <c r="F89" s="38"/>
      <c r="G89" s="38"/>
      <c r="H89" s="38"/>
      <c r="I89" s="38"/>
      <c r="J89" s="38"/>
      <c r="K89" s="88"/>
    </row>
    <row r="90" spans="1:16">
      <c r="A90" s="2378"/>
      <c r="B90" s="1855"/>
      <c r="C90" s="73">
        <v>2019</v>
      </c>
      <c r="D90" s="156"/>
      <c r="E90" s="112"/>
      <c r="F90" s="38"/>
      <c r="G90" s="38"/>
      <c r="H90" s="38"/>
      <c r="I90" s="38"/>
      <c r="J90" s="38"/>
      <c r="K90" s="88"/>
    </row>
    <row r="91" spans="1:16">
      <c r="A91" s="2378"/>
      <c r="B91" s="1855"/>
      <c r="C91" s="73">
        <v>2020</v>
      </c>
      <c r="D91" s="156"/>
      <c r="E91" s="112"/>
      <c r="F91" s="38"/>
      <c r="G91" s="38"/>
      <c r="H91" s="38"/>
      <c r="I91" s="38"/>
      <c r="J91" s="38"/>
      <c r="K91" s="88"/>
    </row>
    <row r="92" spans="1:16" ht="18" customHeight="1" thickBot="1">
      <c r="A92" s="1856"/>
      <c r="B92" s="1857"/>
      <c r="C92" s="136" t="s">
        <v>13</v>
      </c>
      <c r="D92" s="157">
        <v>0</v>
      </c>
      <c r="E92" s="115">
        <v>0</v>
      </c>
      <c r="F92" s="116">
        <v>0</v>
      </c>
      <c r="G92" s="116">
        <v>0</v>
      </c>
      <c r="H92" s="116">
        <v>0</v>
      </c>
      <c r="I92" s="116">
        <v>0</v>
      </c>
      <c r="J92" s="116">
        <v>0</v>
      </c>
      <c r="K92" s="117">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474" t="s">
        <v>68</v>
      </c>
      <c r="B96" s="2481" t="s">
        <v>179</v>
      </c>
      <c r="C96" s="2482" t="s">
        <v>9</v>
      </c>
      <c r="D96" s="2411" t="s">
        <v>70</v>
      </c>
      <c r="E96" s="2412"/>
      <c r="F96" s="1756" t="s">
        <v>71</v>
      </c>
      <c r="G96" s="1822"/>
      <c r="H96" s="1822"/>
      <c r="I96" s="1822"/>
      <c r="J96" s="1822"/>
      <c r="K96" s="1822"/>
      <c r="L96" s="1822"/>
      <c r="M96" s="1823"/>
      <c r="N96" s="165"/>
      <c r="O96" s="165"/>
      <c r="P96" s="165"/>
    </row>
    <row r="97" spans="1:16" ht="100.5" customHeight="1">
      <c r="A97" s="2406"/>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2408" t="str">
        <f>CONCATENATE('[1]WSS 2015'!B98:B105,'[1]WSS 2016_2017 stan 31.12.2017'!A98:B105)</f>
        <v xml:space="preserve">      Obszar tematyczny: Promocja zrównoważonego rozwoju Obszarów Wiejskich  (operacja: XLI Ogólnopolskiego Konkursu Jakości Prac Scaleniowych promujacego doświadczenia i najlepsze stosowane praktyki)Obszar tematyczny : Seminarium podsumowujące ZXL Ogólnopolski Konkurs Jakości Prac Scaleniowych</v>
      </c>
      <c r="B98" s="1855"/>
      <c r="C98" s="106">
        <v>2014</v>
      </c>
      <c r="D98" s="30"/>
      <c r="E98" s="31"/>
      <c r="F98" s="174"/>
      <c r="G98" s="175"/>
      <c r="H98" s="175"/>
      <c r="I98" s="175"/>
      <c r="J98" s="175"/>
      <c r="K98" s="175"/>
      <c r="L98" s="175"/>
      <c r="M98" s="176"/>
      <c r="N98" s="165"/>
      <c r="O98" s="165"/>
      <c r="P98" s="165"/>
    </row>
    <row r="99" spans="1:16" ht="16.5" customHeight="1">
      <c r="A99" s="2378"/>
      <c r="B99" s="1855"/>
      <c r="C99" s="110">
        <v>2015</v>
      </c>
      <c r="D99" s="37">
        <f>'[1]WSS 2015'!D99</f>
        <v>0</v>
      </c>
      <c r="E99" s="37">
        <f>'[1]WSS 2015'!E99</f>
        <v>0</v>
      </c>
      <c r="F99" s="177">
        <f>'[1]WSS 2015'!F99</f>
        <v>0</v>
      </c>
      <c r="G99" s="178">
        <f>'[1]WSS 2015'!G99</f>
        <v>0</v>
      </c>
      <c r="H99" s="178">
        <f>'[1]WSS 2015'!H99</f>
        <v>0</v>
      </c>
      <c r="I99" s="178">
        <f>'[1]WSS 2015'!I99</f>
        <v>0</v>
      </c>
      <c r="J99" s="178">
        <f>'[1]WSS 2015'!J99</f>
        <v>0</v>
      </c>
      <c r="K99" s="178">
        <f>'[1]WSS 2015'!K99</f>
        <v>0</v>
      </c>
      <c r="L99" s="178">
        <f>'[1]WSS 2015'!L99</f>
        <v>0</v>
      </c>
      <c r="M99" s="179">
        <f>'[1]WSS 2015'!M99</f>
        <v>0</v>
      </c>
      <c r="N99" s="165"/>
      <c r="O99" s="165"/>
      <c r="P99" s="165"/>
    </row>
    <row r="100" spans="1:16" ht="16.5" customHeight="1">
      <c r="A100" s="2378"/>
      <c r="B100" s="1855"/>
      <c r="C100" s="110">
        <v>2016</v>
      </c>
      <c r="D100" s="37">
        <v>0</v>
      </c>
      <c r="E100" s="37">
        <v>0</v>
      </c>
      <c r="F100" s="37">
        <v>0</v>
      </c>
      <c r="G100" s="37">
        <v>0</v>
      </c>
      <c r="H100" s="37">
        <v>0</v>
      </c>
      <c r="I100" s="37">
        <v>0</v>
      </c>
      <c r="J100" s="37">
        <v>0</v>
      </c>
      <c r="K100" s="37">
        <v>0</v>
      </c>
      <c r="L100" s="37">
        <v>0</v>
      </c>
      <c r="M100" s="37">
        <v>0</v>
      </c>
      <c r="N100" s="165"/>
      <c r="O100" s="165"/>
      <c r="P100" s="165"/>
    </row>
    <row r="101" spans="1:16" ht="16.5" customHeight="1">
      <c r="A101" s="2378"/>
      <c r="B101" s="1855"/>
      <c r="C101" s="110">
        <v>2017</v>
      </c>
      <c r="D101" s="37">
        <v>2</v>
      </c>
      <c r="E101" s="37">
        <v>12</v>
      </c>
      <c r="F101" s="37">
        <v>0</v>
      </c>
      <c r="G101" s="37">
        <v>0</v>
      </c>
      <c r="H101" s="37">
        <v>0</v>
      </c>
      <c r="I101" s="37">
        <v>0</v>
      </c>
      <c r="J101" s="37">
        <v>0</v>
      </c>
      <c r="K101" s="37">
        <v>0</v>
      </c>
      <c r="L101" s="37">
        <v>0</v>
      </c>
      <c r="M101" s="37">
        <v>2</v>
      </c>
      <c r="N101" s="165"/>
      <c r="O101" s="165"/>
      <c r="P101" s="165"/>
    </row>
    <row r="102" spans="1:16" ht="15.75" customHeight="1">
      <c r="A102" s="2378"/>
      <c r="B102" s="1855"/>
      <c r="C102" s="110">
        <v>2018</v>
      </c>
      <c r="D102" s="37"/>
      <c r="E102" s="38"/>
      <c r="F102" s="177"/>
      <c r="G102" s="178"/>
      <c r="H102" s="178"/>
      <c r="I102" s="178"/>
      <c r="J102" s="178"/>
      <c r="K102" s="178"/>
      <c r="L102" s="178"/>
      <c r="M102" s="179"/>
      <c r="N102" s="165"/>
      <c r="O102" s="165"/>
      <c r="P102" s="165"/>
    </row>
    <row r="103" spans="1:16" ht="14.25" customHeight="1">
      <c r="A103" s="2378"/>
      <c r="B103" s="1855"/>
      <c r="C103" s="110">
        <v>2019</v>
      </c>
      <c r="D103" s="37"/>
      <c r="E103" s="38"/>
      <c r="F103" s="177"/>
      <c r="G103" s="178"/>
      <c r="H103" s="178"/>
      <c r="I103" s="178"/>
      <c r="J103" s="178"/>
      <c r="K103" s="178"/>
      <c r="L103" s="178"/>
      <c r="M103" s="179"/>
      <c r="N103" s="165"/>
      <c r="O103" s="165"/>
      <c r="P103" s="165"/>
    </row>
    <row r="104" spans="1:16" ht="14.25" customHeight="1">
      <c r="A104" s="2378"/>
      <c r="B104" s="1855"/>
      <c r="C104" s="110">
        <v>2020</v>
      </c>
      <c r="D104" s="37"/>
      <c r="E104" s="38"/>
      <c r="F104" s="177"/>
      <c r="G104" s="178"/>
      <c r="H104" s="178"/>
      <c r="I104" s="178"/>
      <c r="J104" s="178"/>
      <c r="K104" s="178"/>
      <c r="L104" s="178"/>
      <c r="M104" s="179"/>
      <c r="N104" s="165"/>
      <c r="O104" s="165"/>
      <c r="P104" s="165"/>
    </row>
    <row r="105" spans="1:16" ht="19.5" customHeight="1" thickBot="1">
      <c r="A105" s="1856"/>
      <c r="B105" s="1857"/>
      <c r="C105" s="113" t="s">
        <v>13</v>
      </c>
      <c r="D105" s="139">
        <v>2</v>
      </c>
      <c r="E105" s="116">
        <v>12</v>
      </c>
      <c r="F105" s="180">
        <v>0</v>
      </c>
      <c r="G105" s="181">
        <v>0</v>
      </c>
      <c r="H105" s="181">
        <v>0</v>
      </c>
      <c r="I105" s="181">
        <v>0</v>
      </c>
      <c r="J105" s="181">
        <v>0</v>
      </c>
      <c r="K105" s="181">
        <v>0</v>
      </c>
      <c r="L105" s="181">
        <v>0</v>
      </c>
      <c r="M105" s="182">
        <v>2</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474" t="s">
        <v>77</v>
      </c>
      <c r="B107" s="2481" t="s">
        <v>179</v>
      </c>
      <c r="C107" s="2482" t="s">
        <v>9</v>
      </c>
      <c r="D107" s="2414" t="s">
        <v>78</v>
      </c>
      <c r="E107" s="1756" t="s">
        <v>79</v>
      </c>
      <c r="F107" s="1822"/>
      <c r="G107" s="1822"/>
      <c r="H107" s="1822"/>
      <c r="I107" s="1822"/>
      <c r="J107" s="1822"/>
      <c r="K107" s="1822"/>
      <c r="L107" s="1823"/>
      <c r="M107" s="185"/>
      <c r="N107" s="185"/>
    </row>
    <row r="108" spans="1:16" ht="103.5" customHeight="1">
      <c r="A108" s="2406"/>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2408" t="str">
        <f>CONCATENATE('[1]WSS 2015'!B109:B116,'[1]WSS 2016_2017 stan 31.12.2017'!A109:B116)</f>
        <v xml:space="preserve">      </v>
      </c>
      <c r="B109" s="1855"/>
      <c r="C109" s="106">
        <v>2014</v>
      </c>
      <c r="D109" s="31"/>
      <c r="E109" s="174"/>
      <c r="F109" s="175"/>
      <c r="G109" s="175"/>
      <c r="H109" s="175"/>
      <c r="I109" s="175"/>
      <c r="J109" s="175"/>
      <c r="K109" s="175"/>
      <c r="L109" s="176"/>
      <c r="M109" s="185"/>
      <c r="N109" s="185"/>
    </row>
    <row r="110" spans="1:16">
      <c r="A110" s="2378"/>
      <c r="B110" s="1855"/>
      <c r="C110" s="110">
        <v>2015</v>
      </c>
      <c r="D110" s="37">
        <f>'[1]WSS 2015'!D110</f>
        <v>0</v>
      </c>
      <c r="E110" s="37">
        <f>'[1]WSS 2015'!E110</f>
        <v>0</v>
      </c>
      <c r="F110" s="178">
        <f>'[1]WSS 2015'!F110</f>
        <v>0</v>
      </c>
      <c r="G110" s="178">
        <f>'[1]WSS 2015'!G110</f>
        <v>0</v>
      </c>
      <c r="H110" s="178">
        <f>'[1]WSS 2015'!H110</f>
        <v>0</v>
      </c>
      <c r="I110" s="178">
        <f>'[1]WSS 2015'!I110</f>
        <v>0</v>
      </c>
      <c r="J110" s="178">
        <f>'[1]WSS 2015'!J110</f>
        <v>0</v>
      </c>
      <c r="K110" s="178">
        <f>'[1]WSS 2015'!K110</f>
        <v>0</v>
      </c>
      <c r="L110" s="179">
        <f>'[1]WSS 2015'!L110</f>
        <v>0</v>
      </c>
      <c r="M110" s="185"/>
      <c r="N110" s="185"/>
    </row>
    <row r="111" spans="1:16">
      <c r="A111" s="2378"/>
      <c r="B111" s="1855"/>
      <c r="C111" s="110">
        <v>2016</v>
      </c>
      <c r="D111" s="37">
        <v>0</v>
      </c>
      <c r="E111" s="37">
        <v>0</v>
      </c>
      <c r="F111" s="37">
        <v>0</v>
      </c>
      <c r="G111" s="37">
        <v>0</v>
      </c>
      <c r="H111" s="37">
        <v>0</v>
      </c>
      <c r="I111" s="37">
        <v>0</v>
      </c>
      <c r="J111" s="37">
        <v>0</v>
      </c>
      <c r="K111" s="37">
        <v>0</v>
      </c>
      <c r="L111" s="37">
        <v>0</v>
      </c>
      <c r="M111" s="185"/>
      <c r="N111" s="185"/>
    </row>
    <row r="112" spans="1:16">
      <c r="A112" s="2378"/>
      <c r="B112" s="1855"/>
      <c r="C112" s="110">
        <v>2017</v>
      </c>
      <c r="D112" s="37">
        <v>0</v>
      </c>
      <c r="E112" s="37">
        <v>0</v>
      </c>
      <c r="F112" s="37">
        <v>0</v>
      </c>
      <c r="G112" s="37">
        <v>0</v>
      </c>
      <c r="H112" s="37">
        <v>0</v>
      </c>
      <c r="I112" s="37">
        <v>0</v>
      </c>
      <c r="J112" s="37">
        <v>0</v>
      </c>
      <c r="K112" s="37">
        <v>0</v>
      </c>
      <c r="L112" s="37">
        <v>0</v>
      </c>
      <c r="M112" s="185"/>
      <c r="N112" s="185"/>
    </row>
    <row r="113" spans="1:14">
      <c r="A113" s="2378"/>
      <c r="B113" s="1855"/>
      <c r="C113" s="110">
        <v>2018</v>
      </c>
      <c r="D113" s="38"/>
      <c r="E113" s="177"/>
      <c r="F113" s="178"/>
      <c r="G113" s="178"/>
      <c r="H113" s="178"/>
      <c r="I113" s="178"/>
      <c r="J113" s="178"/>
      <c r="K113" s="178"/>
      <c r="L113" s="179"/>
      <c r="M113" s="185"/>
      <c r="N113" s="185"/>
    </row>
    <row r="114" spans="1:14">
      <c r="A114" s="2378"/>
      <c r="B114" s="1855"/>
      <c r="C114" s="110">
        <v>2019</v>
      </c>
      <c r="D114" s="38"/>
      <c r="E114" s="177"/>
      <c r="F114" s="178"/>
      <c r="G114" s="178"/>
      <c r="H114" s="178"/>
      <c r="I114" s="178"/>
      <c r="J114" s="178"/>
      <c r="K114" s="178"/>
      <c r="L114" s="179"/>
      <c r="M114" s="185"/>
      <c r="N114" s="185"/>
    </row>
    <row r="115" spans="1:14">
      <c r="A115" s="2378"/>
      <c r="B115" s="1855"/>
      <c r="C115" s="110">
        <v>2020</v>
      </c>
      <c r="D115" s="38"/>
      <c r="E115" s="177"/>
      <c r="F115" s="178"/>
      <c r="G115" s="178"/>
      <c r="H115" s="178"/>
      <c r="I115" s="178"/>
      <c r="J115" s="178"/>
      <c r="K115" s="178"/>
      <c r="L115" s="179"/>
      <c r="M115" s="185"/>
      <c r="N115" s="185"/>
    </row>
    <row r="116" spans="1:14" ht="25.5" customHeight="1" thickBot="1">
      <c r="A116" s="1856"/>
      <c r="B116" s="1857"/>
      <c r="C116" s="113" t="s">
        <v>13</v>
      </c>
      <c r="D116" s="116">
        <v>0</v>
      </c>
      <c r="E116" s="180">
        <v>0</v>
      </c>
      <c r="F116" s="181">
        <v>0</v>
      </c>
      <c r="G116" s="181">
        <v>0</v>
      </c>
      <c r="H116" s="181">
        <v>0</v>
      </c>
      <c r="I116" s="181">
        <v>0</v>
      </c>
      <c r="J116" s="181"/>
      <c r="K116" s="181">
        <v>0</v>
      </c>
      <c r="L116" s="182">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474" t="s">
        <v>81</v>
      </c>
      <c r="B118" s="2481" t="s">
        <v>179</v>
      </c>
      <c r="C118" s="2482" t="s">
        <v>9</v>
      </c>
      <c r="D118" s="2414" t="s">
        <v>82</v>
      </c>
      <c r="E118" s="1756" t="s">
        <v>79</v>
      </c>
      <c r="F118" s="1822"/>
      <c r="G118" s="1822"/>
      <c r="H118" s="1822"/>
      <c r="I118" s="1822"/>
      <c r="J118" s="1822"/>
      <c r="K118" s="1822"/>
      <c r="L118" s="1823"/>
      <c r="M118" s="185"/>
      <c r="N118" s="185"/>
    </row>
    <row r="119" spans="1:14" ht="120.75" customHeight="1">
      <c r="A119" s="2406"/>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2408" t="str">
        <f>CONCATENATE('[1]WSS 2015'!B120:B127,'[1]WSS 2016_2017 stan 31.12.2017'!A120:B127)</f>
        <v xml:space="preserve">      </v>
      </c>
      <c r="B120" s="1855"/>
      <c r="C120" s="106">
        <v>2014</v>
      </c>
      <c r="D120" s="31"/>
      <c r="E120" s="174"/>
      <c r="F120" s="175"/>
      <c r="G120" s="175"/>
      <c r="H120" s="175"/>
      <c r="I120" s="175"/>
      <c r="J120" s="175"/>
      <c r="K120" s="175"/>
      <c r="L120" s="176"/>
      <c r="M120" s="185"/>
      <c r="N120" s="185"/>
    </row>
    <row r="121" spans="1:14">
      <c r="A121" s="2378"/>
      <c r="B121" s="1855"/>
      <c r="C121" s="110">
        <v>2015</v>
      </c>
      <c r="D121" s="37">
        <f>'[1]WSS 2015'!D121</f>
        <v>0</v>
      </c>
      <c r="E121" s="37">
        <f>'[1]WSS 2015'!E121</f>
        <v>0</v>
      </c>
      <c r="F121" s="178">
        <f>'[1]WSS 2015'!F121</f>
        <v>0</v>
      </c>
      <c r="G121" s="178">
        <f>'[1]WSS 2015'!G121</f>
        <v>0</v>
      </c>
      <c r="H121" s="178">
        <f>'[1]WSS 2015'!H121</f>
        <v>0</v>
      </c>
      <c r="I121" s="178">
        <f>'[1]WSS 2015'!I121</f>
        <v>0</v>
      </c>
      <c r="J121" s="178">
        <f>'[1]WSS 2015'!J121</f>
        <v>0</v>
      </c>
      <c r="K121" s="178">
        <f>'[1]WSS 2015'!K121</f>
        <v>0</v>
      </c>
      <c r="L121" s="179">
        <f>'[1]WSS 2015'!L121</f>
        <v>0</v>
      </c>
      <c r="M121" s="185"/>
      <c r="N121" s="185"/>
    </row>
    <row r="122" spans="1:14">
      <c r="A122" s="2378"/>
      <c r="B122" s="1855"/>
      <c r="C122" s="110">
        <v>2016</v>
      </c>
      <c r="D122" s="37">
        <v>0</v>
      </c>
      <c r="E122" s="37">
        <v>0</v>
      </c>
      <c r="F122" s="37">
        <v>0</v>
      </c>
      <c r="G122" s="37">
        <v>0</v>
      </c>
      <c r="H122" s="37">
        <v>0</v>
      </c>
      <c r="I122" s="37">
        <v>0</v>
      </c>
      <c r="J122" s="37">
        <v>0</v>
      </c>
      <c r="K122" s="37">
        <v>0</v>
      </c>
      <c r="L122" s="37">
        <v>0</v>
      </c>
      <c r="M122" s="185"/>
      <c r="N122" s="185"/>
    </row>
    <row r="123" spans="1:14">
      <c r="A123" s="2378"/>
      <c r="B123" s="1855"/>
      <c r="C123" s="110">
        <v>2017</v>
      </c>
      <c r="D123" s="37">
        <v>0</v>
      </c>
      <c r="E123" s="37">
        <v>0</v>
      </c>
      <c r="F123" s="37">
        <v>0</v>
      </c>
      <c r="G123" s="37">
        <v>0</v>
      </c>
      <c r="H123" s="37">
        <v>0</v>
      </c>
      <c r="I123" s="37">
        <v>0</v>
      </c>
      <c r="J123" s="37">
        <v>0</v>
      </c>
      <c r="K123" s="37">
        <v>0</v>
      </c>
      <c r="L123" s="37">
        <v>0</v>
      </c>
      <c r="M123" s="185"/>
      <c r="N123" s="185"/>
    </row>
    <row r="124" spans="1:14">
      <c r="A124" s="2378"/>
      <c r="B124" s="1855"/>
      <c r="C124" s="110">
        <v>2018</v>
      </c>
      <c r="D124" s="38"/>
      <c r="E124" s="177"/>
      <c r="F124" s="178"/>
      <c r="G124" s="178"/>
      <c r="H124" s="178"/>
      <c r="I124" s="178"/>
      <c r="J124" s="178"/>
      <c r="K124" s="178"/>
      <c r="L124" s="179"/>
      <c r="M124" s="185"/>
      <c r="N124" s="185"/>
    </row>
    <row r="125" spans="1:14">
      <c r="A125" s="2378"/>
      <c r="B125" s="1855"/>
      <c r="C125" s="110">
        <v>2019</v>
      </c>
      <c r="D125" s="38"/>
      <c r="E125" s="177"/>
      <c r="F125" s="178"/>
      <c r="G125" s="178"/>
      <c r="H125" s="178"/>
      <c r="I125" s="178"/>
      <c r="J125" s="178"/>
      <c r="K125" s="178"/>
      <c r="L125" s="179"/>
      <c r="M125" s="185"/>
      <c r="N125" s="185"/>
    </row>
    <row r="126" spans="1:14">
      <c r="A126" s="2378"/>
      <c r="B126" s="1855"/>
      <c r="C126" s="110">
        <v>2020</v>
      </c>
      <c r="D126" s="38"/>
      <c r="E126" s="177"/>
      <c r="F126" s="178"/>
      <c r="G126" s="178"/>
      <c r="H126" s="178"/>
      <c r="I126" s="178"/>
      <c r="J126" s="178"/>
      <c r="K126" s="178"/>
      <c r="L126" s="179"/>
      <c r="M126" s="185"/>
      <c r="N126" s="185"/>
    </row>
    <row r="127" spans="1:14" ht="15.75" thickBot="1">
      <c r="A127" s="1856"/>
      <c r="B127" s="1857"/>
      <c r="C127" s="113" t="s">
        <v>13</v>
      </c>
      <c r="D127" s="116">
        <v>0</v>
      </c>
      <c r="E127" s="180">
        <v>0</v>
      </c>
      <c r="F127" s="181">
        <v>0</v>
      </c>
      <c r="G127" s="181">
        <v>0</v>
      </c>
      <c r="H127" s="181">
        <v>0</v>
      </c>
      <c r="I127" s="181">
        <v>0</v>
      </c>
      <c r="J127" s="181"/>
      <c r="K127" s="181">
        <v>0</v>
      </c>
      <c r="L127" s="182">
        <v>0</v>
      </c>
      <c r="M127" s="185"/>
      <c r="N127" s="185"/>
    </row>
    <row r="128" spans="1:14" ht="15.75" thickBot="1">
      <c r="A128" s="183"/>
      <c r="B128" s="183"/>
      <c r="C128" s="184"/>
      <c r="D128" s="7"/>
      <c r="E128" s="7"/>
      <c r="H128" s="185"/>
      <c r="I128" s="185"/>
      <c r="J128" s="185"/>
      <c r="K128" s="185"/>
      <c r="L128" s="185"/>
      <c r="M128" s="185"/>
      <c r="N128" s="185"/>
    </row>
    <row r="129" spans="1:16" ht="15" customHeight="1">
      <c r="A129" s="2474" t="s">
        <v>84</v>
      </c>
      <c r="B129" s="2481" t="s">
        <v>179</v>
      </c>
      <c r="C129" s="1824" t="s">
        <v>9</v>
      </c>
      <c r="D129" s="1758" t="s">
        <v>85</v>
      </c>
      <c r="E129" s="1825"/>
      <c r="F129" s="1825"/>
      <c r="G129" s="1759"/>
      <c r="H129" s="185"/>
      <c r="I129" s="185"/>
      <c r="J129" s="185"/>
      <c r="K129" s="185"/>
      <c r="L129" s="185"/>
      <c r="M129" s="185"/>
      <c r="N129" s="185"/>
    </row>
    <row r="130" spans="1:16" ht="77.25" customHeight="1">
      <c r="A130" s="2406"/>
      <c r="B130" s="1912"/>
      <c r="C130" s="1797"/>
      <c r="D130" s="166" t="s">
        <v>86</v>
      </c>
      <c r="E130" s="193" t="s">
        <v>87</v>
      </c>
      <c r="F130" s="167" t="s">
        <v>88</v>
      </c>
      <c r="G130" s="194" t="s">
        <v>13</v>
      </c>
      <c r="H130" s="185"/>
      <c r="I130" s="185"/>
      <c r="J130" s="185"/>
      <c r="K130" s="185"/>
      <c r="L130" s="185"/>
      <c r="M130" s="185"/>
      <c r="N130" s="185"/>
    </row>
    <row r="131" spans="1:16" ht="15" customHeight="1">
      <c r="A131" s="2408" t="s">
        <v>585</v>
      </c>
      <c r="B131" s="1855"/>
      <c r="C131" s="106">
        <v>2015</v>
      </c>
      <c r="D131" s="30"/>
      <c r="E131" s="31"/>
      <c r="F131" s="31"/>
      <c r="G131" s="195">
        <v>0</v>
      </c>
      <c r="H131" s="185"/>
      <c r="I131" s="185"/>
      <c r="J131" s="185"/>
      <c r="K131" s="185"/>
      <c r="L131" s="185"/>
      <c r="M131" s="185"/>
      <c r="N131" s="185"/>
    </row>
    <row r="132" spans="1:16">
      <c r="A132" s="2378"/>
      <c r="B132" s="1855"/>
      <c r="C132" s="110">
        <v>2016</v>
      </c>
      <c r="D132" s="37">
        <v>0</v>
      </c>
      <c r="E132" s="38">
        <v>0</v>
      </c>
      <c r="F132" s="38">
        <v>0</v>
      </c>
      <c r="G132" s="195">
        <v>0</v>
      </c>
      <c r="H132" s="185"/>
      <c r="I132" s="185"/>
      <c r="J132" s="185"/>
      <c r="K132" s="185"/>
      <c r="L132" s="185"/>
      <c r="M132" s="185"/>
      <c r="N132" s="185"/>
    </row>
    <row r="133" spans="1:16">
      <c r="A133" s="2378"/>
      <c r="B133" s="1855"/>
      <c r="C133" s="110">
        <v>2017</v>
      </c>
      <c r="D133" s="37">
        <v>0</v>
      </c>
      <c r="E133" s="38">
        <v>0</v>
      </c>
      <c r="F133" s="38">
        <v>0</v>
      </c>
      <c r="G133" s="195">
        <v>0</v>
      </c>
      <c r="H133" s="185"/>
      <c r="I133" s="185"/>
      <c r="J133" s="185"/>
      <c r="K133" s="185"/>
      <c r="L133" s="185"/>
      <c r="M133" s="185"/>
      <c r="N133" s="185"/>
    </row>
    <row r="134" spans="1:16">
      <c r="A134" s="2378"/>
      <c r="B134" s="1855"/>
      <c r="C134" s="110">
        <v>2018</v>
      </c>
      <c r="D134" s="37"/>
      <c r="E134" s="38"/>
      <c r="F134" s="38"/>
      <c r="G134" s="195">
        <v>0</v>
      </c>
      <c r="H134" s="185"/>
      <c r="I134" s="185"/>
      <c r="J134" s="185"/>
      <c r="K134" s="185"/>
      <c r="L134" s="185"/>
      <c r="M134" s="185"/>
      <c r="N134" s="185"/>
    </row>
    <row r="135" spans="1:16">
      <c r="A135" s="2378"/>
      <c r="B135" s="1855"/>
      <c r="C135" s="110">
        <v>2019</v>
      </c>
      <c r="D135" s="37"/>
      <c r="E135" s="38"/>
      <c r="F135" s="38"/>
      <c r="G135" s="195">
        <v>0</v>
      </c>
      <c r="H135" s="185"/>
      <c r="I135" s="185"/>
      <c r="J135" s="185"/>
      <c r="K135" s="185"/>
      <c r="L135" s="185"/>
      <c r="M135" s="185"/>
      <c r="N135" s="185"/>
    </row>
    <row r="136" spans="1:16">
      <c r="A136" s="2378"/>
      <c r="B136" s="1855"/>
      <c r="C136" s="110">
        <v>2020</v>
      </c>
      <c r="D136" s="37"/>
      <c r="E136" s="38"/>
      <c r="F136" s="38"/>
      <c r="G136" s="195">
        <v>0</v>
      </c>
      <c r="H136" s="185"/>
      <c r="I136" s="185"/>
      <c r="J136" s="185"/>
      <c r="K136" s="185"/>
      <c r="L136" s="185"/>
      <c r="M136" s="185"/>
      <c r="N136" s="185"/>
    </row>
    <row r="137" spans="1:16" ht="17.25" customHeight="1" thickBot="1">
      <c r="A137" s="1856"/>
      <c r="B137" s="1857"/>
      <c r="C137" s="113" t="s">
        <v>13</v>
      </c>
      <c r="D137" s="139">
        <v>0</v>
      </c>
      <c r="E137" s="139">
        <v>0</v>
      </c>
      <c r="F137" s="139">
        <v>0</v>
      </c>
      <c r="G137" s="196">
        <v>0</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483" t="s">
        <v>91</v>
      </c>
      <c r="B142" s="2479" t="s">
        <v>179</v>
      </c>
      <c r="C142" s="2484" t="s">
        <v>9</v>
      </c>
      <c r="D142" s="1826" t="s">
        <v>92</v>
      </c>
      <c r="E142" s="1827"/>
      <c r="F142" s="1827"/>
      <c r="G142" s="1827"/>
      <c r="H142" s="1827"/>
      <c r="I142" s="1828"/>
      <c r="J142" s="2475" t="s">
        <v>93</v>
      </c>
      <c r="K142" s="2476"/>
      <c r="L142" s="2476"/>
      <c r="M142" s="2476"/>
      <c r="N142" s="2477"/>
      <c r="O142" s="165"/>
      <c r="P142" s="165"/>
    </row>
    <row r="143" spans="1:16" ht="113.25" customHeight="1">
      <c r="A143" s="2410"/>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2408" t="str">
        <f>CONCATENATE('[1]WSS 2015'!B144:B151,'[1]WSS 2016_2017 stan 31.12.2017'!A144:B151)</f>
        <v>Wystąpiła trudnośc podczas przyporządkowywania spotkań/konferencji do poszczególnych rodzajów inicjatyw, ze względu na fakt, iż niektóre programy  spotkań/konferencji dotyczyły więcej niż jednego obszaru , tzw. spotkania łączone. Natomiast w części tabeli wg głównego organizatora jest zbyt mało możliwości wyboru, gdyż głównym organizatorem jest podmiot inny niż wskazany w tej tabeli, np. Parlament Europejski we współpracy z KE i ENRD (ENRD nie była głównym organizatorem), KE we współpracy z ENRD. Jednocześnie niektóre wyjazdy były finansowane z innych środkow niż w ramach funkcjonowania sieci, co utrudnia identyfikację aktywnego udziału przedstawiciela podmiotu, który delegował daną osobę na spotkanie.    Wyjazd 1 osoby z SAR do Brukseli w dn. 30.11-01.12.2016 r. w związku z udziałem w posiedzeniu Zgromadzenia Sieci Obszarów Wiejskich  Udział 1 osoby z BPT w V i VI posiedzeniu Grupy Sterującej ds. ESROW w Brukseli oraz w posiedzeniu Zgromadzenia ESOWSpotkanie w dniach 24-26 kwietnia 2017 roku Sieci Morza Bałtyckiego EFRROW w Helsinkach</v>
      </c>
      <c r="B144" s="1855"/>
      <c r="C144" s="106">
        <v>2014</v>
      </c>
      <c r="D144" s="30"/>
      <c r="E144" s="30"/>
      <c r="F144" s="31"/>
      <c r="G144" s="175"/>
      <c r="H144" s="175"/>
      <c r="I144" s="213">
        <v>0</v>
      </c>
      <c r="J144" s="214"/>
      <c r="K144" s="215"/>
      <c r="L144" s="214"/>
      <c r="M144" s="215"/>
      <c r="N144" s="216"/>
      <c r="O144" s="165"/>
      <c r="P144" s="165"/>
    </row>
    <row r="145" spans="1:16" ht="19.5" customHeight="1">
      <c r="A145" s="2378"/>
      <c r="B145" s="1855"/>
      <c r="C145" s="110">
        <v>2015</v>
      </c>
      <c r="D145" s="37">
        <f>'[1]WSS 2015'!D145</f>
        <v>1</v>
      </c>
      <c r="E145" s="37">
        <f>'[1]WSS 2015'!E145</f>
        <v>2</v>
      </c>
      <c r="F145" s="38">
        <f>'[1]WSS 2015'!F145</f>
        <v>3</v>
      </c>
      <c r="G145" s="178">
        <f>'[1]WSS 2015'!G145</f>
        <v>3</v>
      </c>
      <c r="H145" s="178">
        <f>'[1]WSS 2015'!H145</f>
        <v>2</v>
      </c>
      <c r="I145" s="213">
        <f>'[1]WSS 2015'!I145</f>
        <v>9</v>
      </c>
      <c r="J145" s="217">
        <f>'[1]WSS 2015'!J145</f>
        <v>4</v>
      </c>
      <c r="K145" s="218">
        <f>'[1]WSS 2015'!K145</f>
        <v>1</v>
      </c>
      <c r="L145" s="217">
        <f>'[1]WSS 2015'!L145</f>
        <v>0</v>
      </c>
      <c r="M145" s="218">
        <f>'[1]WSS 2015'!M145</f>
        <v>0</v>
      </c>
      <c r="N145" s="219">
        <f>'[1]WSS 2015'!N145</f>
        <v>0</v>
      </c>
      <c r="O145" s="165"/>
      <c r="P145" s="165"/>
    </row>
    <row r="146" spans="1:16" ht="20.25" customHeight="1">
      <c r="A146" s="2378"/>
      <c r="B146" s="1855"/>
      <c r="C146" s="110">
        <v>2016</v>
      </c>
      <c r="D146" s="37">
        <v>0</v>
      </c>
      <c r="E146" s="37">
        <v>1</v>
      </c>
      <c r="F146" s="38">
        <v>4</v>
      </c>
      <c r="G146" s="178">
        <v>12</v>
      </c>
      <c r="H146" s="178">
        <v>4</v>
      </c>
      <c r="I146" s="213">
        <v>20</v>
      </c>
      <c r="J146" s="217">
        <v>20</v>
      </c>
      <c r="K146" s="218">
        <v>2</v>
      </c>
      <c r="L146" s="217">
        <v>0</v>
      </c>
      <c r="M146" s="218">
        <v>0</v>
      </c>
      <c r="N146" s="219">
        <v>0</v>
      </c>
      <c r="O146" s="165"/>
      <c r="P146" s="165"/>
    </row>
    <row r="147" spans="1:16" ht="17.25" customHeight="1">
      <c r="A147" s="2378"/>
      <c r="B147" s="1855"/>
      <c r="C147" s="110">
        <v>2017</v>
      </c>
      <c r="D147" s="37">
        <v>0</v>
      </c>
      <c r="E147" s="37">
        <v>0</v>
      </c>
      <c r="F147" s="38">
        <v>0</v>
      </c>
      <c r="G147" s="178">
        <v>0</v>
      </c>
      <c r="H147" s="178">
        <v>1</v>
      </c>
      <c r="I147" s="213">
        <v>1</v>
      </c>
      <c r="J147" s="37">
        <v>0</v>
      </c>
      <c r="K147" s="37">
        <v>0</v>
      </c>
      <c r="L147" s="38">
        <v>0</v>
      </c>
      <c r="M147" s="178">
        <v>0</v>
      </c>
      <c r="N147" s="178">
        <v>0</v>
      </c>
      <c r="O147" s="165"/>
      <c r="P147" s="165"/>
    </row>
    <row r="148" spans="1:16" ht="19.5" customHeight="1">
      <c r="A148" s="2378"/>
      <c r="B148" s="1855"/>
      <c r="C148" s="110">
        <v>2018</v>
      </c>
      <c r="D148" s="37"/>
      <c r="E148" s="37"/>
      <c r="F148" s="38"/>
      <c r="G148" s="178"/>
      <c r="H148" s="178"/>
      <c r="I148" s="213">
        <v>0</v>
      </c>
      <c r="J148" s="217"/>
      <c r="K148" s="218"/>
      <c r="L148" s="217"/>
      <c r="M148" s="218"/>
      <c r="N148" s="219"/>
      <c r="O148" s="165"/>
      <c r="P148" s="165"/>
    </row>
    <row r="149" spans="1:16" ht="19.5" customHeight="1">
      <c r="A149" s="2378"/>
      <c r="B149" s="1855"/>
      <c r="C149" s="110">
        <v>2019</v>
      </c>
      <c r="D149" s="37"/>
      <c r="E149" s="37"/>
      <c r="F149" s="38"/>
      <c r="G149" s="178"/>
      <c r="H149" s="178"/>
      <c r="I149" s="213">
        <v>0</v>
      </c>
      <c r="J149" s="217"/>
      <c r="K149" s="218"/>
      <c r="L149" s="217"/>
      <c r="M149" s="218"/>
      <c r="N149" s="219"/>
      <c r="O149" s="165"/>
      <c r="P149" s="165"/>
    </row>
    <row r="150" spans="1:16" ht="18.75" customHeight="1">
      <c r="A150" s="2378"/>
      <c r="B150" s="1855"/>
      <c r="C150" s="110">
        <v>2020</v>
      </c>
      <c r="D150" s="37"/>
      <c r="E150" s="37"/>
      <c r="F150" s="38"/>
      <c r="G150" s="178"/>
      <c r="H150" s="178"/>
      <c r="I150" s="213">
        <v>0</v>
      </c>
      <c r="J150" s="217"/>
      <c r="K150" s="218"/>
      <c r="L150" s="217"/>
      <c r="M150" s="218"/>
      <c r="N150" s="219"/>
      <c r="O150" s="165"/>
      <c r="P150" s="165"/>
    </row>
    <row r="151" spans="1:16" ht="18" customHeight="1" thickBot="1">
      <c r="A151" s="1856"/>
      <c r="B151" s="1857"/>
      <c r="C151" s="113" t="s">
        <v>13</v>
      </c>
      <c r="D151" s="139">
        <v>0</v>
      </c>
      <c r="E151" s="139">
        <v>0</v>
      </c>
      <c r="F151" s="139">
        <v>0</v>
      </c>
      <c r="G151" s="139">
        <v>0</v>
      </c>
      <c r="H151" s="139">
        <v>1</v>
      </c>
      <c r="I151" s="220">
        <v>1</v>
      </c>
      <c r="J151" s="221">
        <v>0</v>
      </c>
      <c r="K151" s="222">
        <v>0</v>
      </c>
      <c r="L151" s="221">
        <v>0</v>
      </c>
      <c r="M151" s="222">
        <v>0</v>
      </c>
      <c r="N151" s="223">
        <v>0</v>
      </c>
      <c r="O151" s="165"/>
      <c r="P151" s="165"/>
    </row>
    <row r="152" spans="1:16" ht="27" customHeight="1" thickBot="1">
      <c r="B152" s="224"/>
      <c r="O152" s="165"/>
      <c r="P152" s="165"/>
    </row>
    <row r="153" spans="1:16" ht="35.25" customHeight="1">
      <c r="A153" s="2478" t="s">
        <v>105</v>
      </c>
      <c r="B153" s="2479" t="s">
        <v>179</v>
      </c>
      <c r="C153" s="2480" t="s">
        <v>9</v>
      </c>
      <c r="D153" s="1829" t="s">
        <v>106</v>
      </c>
      <c r="E153" s="1829"/>
      <c r="F153" s="1830"/>
      <c r="G153" s="1830"/>
      <c r="H153" s="1829" t="s">
        <v>107</v>
      </c>
      <c r="I153" s="1829"/>
      <c r="J153" s="1831"/>
      <c r="K153" s="56"/>
      <c r="L153" s="56"/>
      <c r="M153" s="56"/>
      <c r="N153" s="56"/>
      <c r="O153" s="165"/>
      <c r="P153" s="165"/>
    </row>
    <row r="154" spans="1:16" ht="49.5" customHeight="1">
      <c r="A154" s="2401"/>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2408" t="str">
        <f>CONCATENATE('[1]WSS 2015'!B155:B162,'[1]WSS 2016_2017 stan 31.12.2017'!A155:B162)</f>
        <v xml:space="preserve">      </v>
      </c>
      <c r="B155" s="1855"/>
      <c r="C155" s="233">
        <v>2014</v>
      </c>
      <c r="D155" s="214"/>
      <c r="E155" s="175"/>
      <c r="F155" s="215"/>
      <c r="G155" s="213">
        <v>0</v>
      </c>
      <c r="H155" s="214"/>
      <c r="I155" s="175"/>
      <c r="J155" s="176"/>
      <c r="O155" s="165"/>
      <c r="P155" s="165"/>
    </row>
    <row r="156" spans="1:16" ht="19.5" customHeight="1">
      <c r="A156" s="2378"/>
      <c r="B156" s="1855"/>
      <c r="C156" s="234">
        <v>2015</v>
      </c>
      <c r="D156" s="37">
        <f>'[1]WSS 2015'!D156</f>
        <v>0</v>
      </c>
      <c r="E156" s="37">
        <f>'[1]WSS 2015'!E156</f>
        <v>0</v>
      </c>
      <c r="F156" s="218">
        <f>'[1]WSS 2015'!F156</f>
        <v>0</v>
      </c>
      <c r="G156" s="213">
        <f>'[1]WSS 2015'!G156</f>
        <v>0</v>
      </c>
      <c r="H156" s="217">
        <f>'[1]WSS 2015'!H156</f>
        <v>0</v>
      </c>
      <c r="I156" s="178">
        <f>'[1]WSS 2015'!I156</f>
        <v>0</v>
      </c>
      <c r="J156" s="179">
        <f>'[1]WSS 2015'!J156</f>
        <v>0</v>
      </c>
      <c r="O156" s="165"/>
      <c r="P156" s="165"/>
    </row>
    <row r="157" spans="1:16" ht="17.25" customHeight="1">
      <c r="A157" s="2378"/>
      <c r="B157" s="1855"/>
      <c r="C157" s="234">
        <v>2016</v>
      </c>
      <c r="D157" s="37">
        <v>0</v>
      </c>
      <c r="E157" s="178">
        <v>0</v>
      </c>
      <c r="F157" s="218">
        <v>0</v>
      </c>
      <c r="G157" s="213">
        <v>0</v>
      </c>
      <c r="H157" s="217">
        <v>0</v>
      </c>
      <c r="I157" s="178">
        <v>0</v>
      </c>
      <c r="J157" s="179">
        <v>0</v>
      </c>
      <c r="O157" s="165"/>
      <c r="P157" s="165"/>
    </row>
    <row r="158" spans="1:16" ht="15" customHeight="1">
      <c r="A158" s="2378"/>
      <c r="B158" s="1855"/>
      <c r="C158" s="234">
        <v>2017</v>
      </c>
      <c r="D158" s="37">
        <v>0</v>
      </c>
      <c r="E158" s="178">
        <v>0</v>
      </c>
      <c r="F158" s="218">
        <v>0</v>
      </c>
      <c r="G158" s="213">
        <v>0</v>
      </c>
      <c r="H158" s="217">
        <v>0</v>
      </c>
      <c r="I158" s="178">
        <v>0</v>
      </c>
      <c r="J158" s="179">
        <v>0</v>
      </c>
      <c r="O158" s="165"/>
      <c r="P158" s="165"/>
    </row>
    <row r="159" spans="1:16" ht="19.5" customHeight="1">
      <c r="A159" s="2378"/>
      <c r="B159" s="1855"/>
      <c r="C159" s="234">
        <v>2018</v>
      </c>
      <c r="D159" s="217"/>
      <c r="E159" s="178"/>
      <c r="F159" s="218"/>
      <c r="G159" s="213">
        <v>0</v>
      </c>
      <c r="H159" s="217"/>
      <c r="I159" s="178"/>
      <c r="J159" s="179"/>
      <c r="O159" s="165"/>
      <c r="P159" s="165"/>
    </row>
    <row r="160" spans="1:16" ht="15" customHeight="1">
      <c r="A160" s="2378"/>
      <c r="B160" s="1855"/>
      <c r="C160" s="234">
        <v>2019</v>
      </c>
      <c r="D160" s="217"/>
      <c r="E160" s="178"/>
      <c r="F160" s="218"/>
      <c r="G160" s="213">
        <v>0</v>
      </c>
      <c r="H160" s="217"/>
      <c r="I160" s="178"/>
      <c r="J160" s="179"/>
      <c r="O160" s="165"/>
      <c r="P160" s="165"/>
    </row>
    <row r="161" spans="1:18" ht="17.25" customHeight="1">
      <c r="A161" s="2378"/>
      <c r="B161" s="1855"/>
      <c r="C161" s="234">
        <v>2020</v>
      </c>
      <c r="D161" s="217"/>
      <c r="E161" s="178"/>
      <c r="F161" s="218"/>
      <c r="G161" s="213">
        <v>0</v>
      </c>
      <c r="H161" s="217"/>
      <c r="I161" s="178"/>
      <c r="J161" s="179"/>
      <c r="O161" s="165"/>
      <c r="P161" s="165"/>
    </row>
    <row r="162" spans="1:18" ht="15.75" thickBot="1">
      <c r="A162" s="1856"/>
      <c r="B162" s="1857"/>
      <c r="C162" s="235" t="s">
        <v>13</v>
      </c>
      <c r="D162" s="221">
        <v>0</v>
      </c>
      <c r="E162" s="181">
        <v>0</v>
      </c>
      <c r="F162" s="222">
        <v>0</v>
      </c>
      <c r="G162" s="222">
        <v>0</v>
      </c>
      <c r="H162" s="221">
        <v>0</v>
      </c>
      <c r="I162" s="181">
        <v>0</v>
      </c>
      <c r="J162" s="236">
        <v>0</v>
      </c>
    </row>
    <row r="163" spans="1:18" ht="24.75" customHeight="1" thickBot="1">
      <c r="A163" s="237"/>
      <c r="B163" s="238"/>
      <c r="C163" s="239"/>
      <c r="D163" s="165"/>
      <c r="E163" s="1832"/>
      <c r="F163" s="165"/>
      <c r="G163" s="165"/>
      <c r="H163" s="165"/>
      <c r="I163" s="165"/>
      <c r="J163" s="241"/>
      <c r="K163" s="242"/>
    </row>
    <row r="164" spans="1:18" ht="95.25" customHeight="1">
      <c r="A164" s="1760" t="s">
        <v>115</v>
      </c>
      <c r="B164" s="405" t="s">
        <v>181</v>
      </c>
      <c r="C164" s="1567" t="s">
        <v>9</v>
      </c>
      <c r="D164" s="246" t="s">
        <v>117</v>
      </c>
      <c r="E164" s="246" t="s">
        <v>118</v>
      </c>
      <c r="F164" s="1833" t="s">
        <v>119</v>
      </c>
      <c r="G164" s="246" t="s">
        <v>120</v>
      </c>
      <c r="H164" s="246" t="s">
        <v>121</v>
      </c>
      <c r="I164" s="248" t="s">
        <v>122</v>
      </c>
      <c r="J164" s="1761" t="s">
        <v>123</v>
      </c>
      <c r="K164" s="1761" t="s">
        <v>124</v>
      </c>
      <c r="L164" s="1721"/>
    </row>
    <row r="165" spans="1:18" ht="15.75" customHeight="1">
      <c r="A165" s="2408" t="str">
        <f>CONCATENATE('[1]WSS 2015'!B165:B172,'[1]WSS 2016_2017 stan 31.12.2017'!A165:B172)</f>
        <v xml:space="preserve">      </v>
      </c>
      <c r="B165" s="1855"/>
      <c r="C165" s="251">
        <v>2014</v>
      </c>
      <c r="D165" s="175"/>
      <c r="E165" s="175"/>
      <c r="F165" s="175"/>
      <c r="G165" s="175"/>
      <c r="H165" s="175"/>
      <c r="I165" s="176"/>
      <c r="J165" s="1683">
        <v>0</v>
      </c>
      <c r="K165" s="253">
        <v>0</v>
      </c>
      <c r="L165" s="1721"/>
    </row>
    <row r="166" spans="1:18">
      <c r="A166" s="2378"/>
      <c r="B166" s="1855"/>
      <c r="C166" s="254">
        <v>2015</v>
      </c>
      <c r="D166" s="37">
        <f>'[1]WSS 2015'!D166</f>
        <v>0</v>
      </c>
      <c r="E166" s="37">
        <f>'[1]WSS 2015'!E166</f>
        <v>0</v>
      </c>
      <c r="F166" s="255">
        <f>'[1]WSS 2015'!F166</f>
        <v>0</v>
      </c>
      <c r="G166" s="255">
        <f>'[1]WSS 2015'!G166</f>
        <v>0</v>
      </c>
      <c r="H166" s="255">
        <f>'[1]WSS 2015'!H166</f>
        <v>0</v>
      </c>
      <c r="I166" s="256">
        <f>'[1]WSS 2015'!I166</f>
        <v>0</v>
      </c>
      <c r="J166" s="1684">
        <f>'[1]WSS 2015'!J166</f>
        <v>0</v>
      </c>
      <c r="K166" s="408">
        <f>'[1]WSS 2015'!K166</f>
        <v>0</v>
      </c>
      <c r="L166" s="1721"/>
    </row>
    <row r="167" spans="1:18">
      <c r="A167" s="2378"/>
      <c r="B167" s="1855"/>
      <c r="C167" s="254">
        <v>2016</v>
      </c>
      <c r="D167" s="37">
        <v>0</v>
      </c>
      <c r="E167" s="37">
        <v>0</v>
      </c>
      <c r="F167" s="37">
        <v>0</v>
      </c>
      <c r="G167" s="37">
        <v>0</v>
      </c>
      <c r="H167" s="37">
        <v>0</v>
      </c>
      <c r="I167" s="37">
        <v>0</v>
      </c>
      <c r="J167" s="37">
        <v>0</v>
      </c>
      <c r="K167" s="37">
        <v>0</v>
      </c>
    </row>
    <row r="168" spans="1:18">
      <c r="A168" s="2378"/>
      <c r="B168" s="1855"/>
      <c r="C168" s="254">
        <v>2017</v>
      </c>
      <c r="D168" s="37">
        <v>0</v>
      </c>
      <c r="E168" s="37">
        <v>0</v>
      </c>
      <c r="F168" s="37">
        <v>0</v>
      </c>
      <c r="G168" s="37">
        <v>0</v>
      </c>
      <c r="H168" s="37">
        <v>0</v>
      </c>
      <c r="I168" s="37">
        <v>0</v>
      </c>
      <c r="J168" s="37">
        <v>0</v>
      </c>
      <c r="K168" s="37">
        <v>0</v>
      </c>
    </row>
    <row r="169" spans="1:18">
      <c r="A169" s="2378"/>
      <c r="B169" s="1855"/>
      <c r="C169" s="262">
        <v>2018</v>
      </c>
      <c r="D169" s="255"/>
      <c r="E169" s="255"/>
      <c r="F169" s="255"/>
      <c r="G169" s="263"/>
      <c r="H169" s="255"/>
      <c r="I169" s="256"/>
      <c r="J169" s="1684">
        <v>0</v>
      </c>
      <c r="K169" s="408">
        <v>0</v>
      </c>
      <c r="L169" s="1721"/>
    </row>
    <row r="170" spans="1:18">
      <c r="A170" s="2378"/>
      <c r="B170" s="1855"/>
      <c r="C170" s="254">
        <v>2019</v>
      </c>
      <c r="D170" s="165"/>
      <c r="E170" s="255"/>
      <c r="F170" s="255"/>
      <c r="G170" s="255"/>
      <c r="H170" s="263"/>
      <c r="I170" s="256"/>
      <c r="J170" s="1684">
        <v>0</v>
      </c>
      <c r="K170" s="408">
        <v>0</v>
      </c>
      <c r="L170" s="1721"/>
    </row>
    <row r="171" spans="1:18">
      <c r="A171" s="2378"/>
      <c r="B171" s="1855"/>
      <c r="C171" s="262">
        <v>2020</v>
      </c>
      <c r="D171" s="255"/>
      <c r="E171" s="255"/>
      <c r="F171" s="255"/>
      <c r="G171" s="255"/>
      <c r="H171" s="255"/>
      <c r="I171" s="256"/>
      <c r="J171" s="1684">
        <v>0</v>
      </c>
      <c r="K171" s="408">
        <v>0</v>
      </c>
      <c r="L171" s="1721"/>
    </row>
    <row r="172" spans="1:18" ht="41.25" customHeight="1" thickBot="1">
      <c r="A172" s="1856"/>
      <c r="B172" s="1857"/>
      <c r="C172" s="265" t="s">
        <v>13</v>
      </c>
      <c r="D172" s="181">
        <v>0</v>
      </c>
      <c r="E172" s="181">
        <v>0</v>
      </c>
      <c r="F172" s="181">
        <v>0</v>
      </c>
      <c r="G172" s="181">
        <v>0</v>
      </c>
      <c r="H172" s="181">
        <v>0</v>
      </c>
      <c r="I172" s="409">
        <v>0</v>
      </c>
      <c r="J172" s="410">
        <v>0</v>
      </c>
      <c r="K172" s="221">
        <v>0</v>
      </c>
      <c r="L172" s="1721"/>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468" t="s">
        <v>127</v>
      </c>
      <c r="B176" s="2466" t="s">
        <v>182</v>
      </c>
      <c r="C176" s="2470" t="s">
        <v>9</v>
      </c>
      <c r="D176" s="1762" t="s">
        <v>128</v>
      </c>
      <c r="E176" s="1834"/>
      <c r="F176" s="1834"/>
      <c r="G176" s="1835"/>
      <c r="H176" s="1763"/>
      <c r="I176" s="2392" t="s">
        <v>129</v>
      </c>
      <c r="J176" s="2464"/>
      <c r="K176" s="2464"/>
      <c r="L176" s="2464"/>
      <c r="M176" s="2464"/>
      <c r="N176" s="2464"/>
      <c r="O176" s="2465"/>
    </row>
    <row r="177" spans="1:15" s="56" customFormat="1" ht="129.75" customHeight="1">
      <c r="A177" s="2469"/>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2408" t="str">
        <f>CONCATENATE('[1]WSS 2015'!B178:B185,'[1]WSS 2016_2017 stan 31.12.2017'!A178:B185)</f>
        <v xml:space="preserve"> 1. Szkolenie związane ze zmianami w przepisach dotyczących działania Program rolnośrodowiskowy PROW 2007-2013 oraz działań: Działanie rolno - środowiskowo - klimatyczne  i Rolnictwo ekologiczne PROW 2014-2020, (24.03.)                                                                                                                                                                                                                                                                                                                                                                                                                                                                                                              2.Szkolenia dla hodowców zwierząt Pakietu 7. Działania rolno-środowiskowo-klimatycznego w ramach PROW 2014-2020. (8-9.11;15-16.11;17-18.11;19-20.11;22-23.11)                  1. Dobre Praktyki w  ramach Działania rolno-środowiskowo-klimatycznego i działania Rolnictwo Ekologiczne;                                                                                                                                                                                                                                            2. Seminarium dotyczącego realizacji działania „Zalesianie i tworzenie terenów zalesionych” objętego Programem Rozwoju Obszarów Wiejskich na lata 2014-2020, w terminie  13-14 października 2016 roku. 7. Udział w warsztatach pod hasłem „Środki rolno-środowiskowo-klimatyczne: trudności w kontrolowaniu i weryfikowaniu” (Bruksela 6-7.12); 1. Udział w spotkaniu dwustronnym RD2/2016/006/PL - dot. postępowanie audytowe (działanie 10, 11 i 13 PROW 2014-2020) - (Bruksela 12-13.12)                                                                                                                                                                                                                                                                                                                              2. Udział  w posiedzeniu Grupy ekspertów ds. płatności bezpośrednich oraz Rozwoju Obszarów Wiejskich (Bruksela 18.01);                                                                             
3. Udział w spotkaniu dyrektorów ds. Rozwoju Obszarów Wiejskich (Haarlem, Holandia, 20-22.04);                                                                                                                                                                                                                                                                   4. Udział w Seminarium pt. „European seminar on agri-environment-climate measures (AECM)” (Paryż, Francja, 8-9.09);                                                                  
5. Udział w konferencji „Przyroda Karpat – stan, zagrożenia i perspektywy ochrony” ( Kraków 14-15.09);                                                                                                                                                                                                                                                                                                                                                                                                                                                                                                                                     
6.  Irlandia na Europejskiej Konferencji dotyczącej rozwoju obszarów wiejskich, która odbyła się w dniach 5-6 września 2016 roku, w Cork (Irlandia) (wyjazd 5.09.2016  powrót był 7.09.2016);                                                                                                                                                                                                                                                                                                                                                                                                                                                                                                                                                                                                                                                                                                                                                                                                                                                                                                                                                                                             7. Udział w posiedzeniu do spraw Rozwoju Obszarów Wiejskich (17 luty Bruksela);                                                                                                                                                                                                                                                                                                     8. Grupa ekspertów ds. monitorowania i ewaluacji WPR (17-18 listopada Bruksela);                                                                                                                                                                                                                                                                                                               9. Warsztaty zorganizowane przez European Evaluation Helpdesk-poświęcone ocenie programów rozwoju obszarów wiejskich pod kątem ich wpływu na zachowanie/ rozwoju gospodarowania sprzyjającego zachowaniu bioróżnorodności i krajobrazu (BONN);                                                                                                                                                                                                                                                                                                                                                                                                10. Spotkanie Agri Environment Correspondents (Bruksela 26-27.04).   1. Szkolenie uzupełniające dla doradców rolnośrodowiskowych i eskpertów przyrodniczych 2. Spotkanie informacyjne dla kadry zarządzającej jednostkami doradztwa rolniczego (nie było finansowane z PK) * Szkolenia z zakresu pierwszej pomocy skierowane były do właścicieli zagród edukacyjnych, członków ich rodzin oraz osób zainteresowanych zarejestrowaniem swojej zagrody edukacyjnej w Ogólnopolskiej Sieci Zagród Edukacyjnych. Odbyły się w 11 następujących województwach: dolnośląskim, lubelskim, lubuskim, łódzkim, mazowieckim, opolskim, podkarpackim, śląskim, świętokrzyskim, wielkopolskim oraz zachodniopomorskim. Szkolenia odbyły się w siedzibach wojewódzkich ośrodków doradztwa rolniczego, były to szkolenia jednodniowe  DPB
1. Szkolenie dotycząse w drażania Działania rolno-środowiskowoo-klimatycznego i Działania Rolnictwo ekologiczne w ramach PROW 2014-2020 od 2017 r. (13.04)                                                                                                                                                                                                                                                                                                                     2. Zasoby genetyczne w rolnictwie (15-16.11) 
SAR
Szkolenia dla doradców świadczących doradztwo w ramach PROW 2014-2020 ( 137 szkoleń stacjonarnych i 3 szkolenie e-learningowe, wykzane w poz."Inne". Liczba dni szkoleniowych nie dotyczy poz. "Inne")
DROW
1.  2 cykle dwudniowych warsztatów, z których każdy składał się z 8 warsztatów;
2. 1 cykl jednodniowych warsztatów składający się z 8 spotkań;
3. 2 jednodniowe szkolenia;
SAR
Zorganizowano: A- Szkolenia z zakresu pierwszej pomocy skierowane były do właścicieli zagród edukacyjnych, członków ich rodzin oraz osób zainteresowanych zarejestrowaniem swojej zagrody edukacyjnej w Ogólnopolskiej Sieci Zagród Edukacyjnych. Odbyły się w 5 następujących województwach: kujawsko-pomorskim, małopolskim, podlaskim, pomorskim, warmińsko-mazurskim. Szkolenia odbyły się w siedzibach wojewódzkich ośrodków doradztwa rolniczego, były to szkolenia jednodniowe; oraz B - trzydniowe szkolenie dla koordynatorów Ogólnopolskiej Sieci Zagród Edukacyjnych. 
1. Spotkanie dotyczące palnownaych zmian przepisów rozporządzeń MRiRW w zakresie Działania rolno-środowiskowo-klimatycznego i działania Rolnictwo Ekologiczne w ramach PROW 2014-2020 (W-wa 26.07);                                                                                                                                                                                   2.Konferencja pt. Wdrażanie Krajowej Strategii zrównoważonego użytkowania i ochrony zasobów genetycznych zwierząt gospodarskich: osiągnięcia i wyzwania,,  (Kraków 19.10);                                                                                                                                                                                                                            3.Konferencja „Rasy rodzime gwarantem produktów wysokiej jakości” (Nadarzyn 01.12);                                                                                                           4.Wspólne posiedzenie Komitetu ds. Funduszy Rolniczych i Komitetu ds. Rozwoju Obszarów Wiejskich (Bruksela 14.06);                                                        5. Komitet ds. Rozwoju Obszarów Wiejskich ( Bruksela 04.10);                                                                                                                                                                                              6. Warsztaty pn. "Opracowanie raportu z wdrażania Konwencji Ramsarskie"  (Wożnawieś 12-13.09);                                                                                       7.Warsztaty pt. "Natura 2000: efektywne wykorzystanie możliwości wsparcia w ramach polityki rozwoju obszarów wiejskich" (Bruksela 28.09);
8.  Szkolenie dla doradców rolnośrodowiskowych (Radom 08.02);
9.  Konferencja PROW 2014-2020 (Sokółka 13.05);
10.  Międzynarodowe Targi Rolno-Przemysłowe AGRO – TECH (Minikowo 30.06.-02.07);
11. Konferencja „Upowszechnianie wiedzy w zakresie jakości żywności”(Łódź 12.10);                                                                                                                                                                                                                                                                                                                                                                                       12. Targi: Regionalna Wystawa Zwierząt Hodowlanych (Szepietowo 24-25.06.2017);                                                                                                                                                                                                                                                                                                                                                                                              13.Seminarium dotyczącego realizacji działania „Zalesianie i tworzenie terenów zalesionych” objętego Programem Rozwoju Obszarów Wiejskich na lata 2014-2020, w terminie  12 grudnia 2017 roku. </v>
      </c>
      <c r="B178" s="1855"/>
      <c r="C178" s="106">
        <v>2014</v>
      </c>
      <c r="D178" s="30"/>
      <c r="E178" s="31"/>
      <c r="F178" s="31"/>
      <c r="G178" s="284">
        <v>0</v>
      </c>
      <c r="H178" s="155"/>
      <c r="I178" s="155"/>
      <c r="J178" s="31"/>
      <c r="K178" s="31"/>
      <c r="L178" s="31"/>
      <c r="M178" s="31"/>
      <c r="N178" s="31"/>
      <c r="O178" s="34"/>
    </row>
    <row r="179" spans="1:15">
      <c r="A179" s="2378"/>
      <c r="B179" s="1855"/>
      <c r="C179" s="110">
        <v>2015</v>
      </c>
      <c r="D179" s="37">
        <f>'[1]WSS 2015'!D179</f>
        <v>0</v>
      </c>
      <c r="E179" s="37">
        <f>'[1]WSS 2015'!E179</f>
        <v>1</v>
      </c>
      <c r="F179" s="38">
        <f>'[1]WSS 2015'!F179</f>
        <v>0</v>
      </c>
      <c r="G179" s="284">
        <f>'[1]WSS 2015'!G179</f>
        <v>1</v>
      </c>
      <c r="H179" s="411">
        <f>'[1]WSS 2015'!H179</f>
        <v>3</v>
      </c>
      <c r="I179" s="112">
        <f>'[1]WSS 2015'!I179</f>
        <v>0</v>
      </c>
      <c r="J179" s="38">
        <f>'[1]WSS 2015'!J179</f>
        <v>1</v>
      </c>
      <c r="K179" s="38">
        <f>'[1]WSS 2015'!K179</f>
        <v>0</v>
      </c>
      <c r="L179" s="38">
        <f>'[1]WSS 2015'!L179</f>
        <v>0</v>
      </c>
      <c r="M179" s="38">
        <f>'[1]WSS 2015'!M179</f>
        <v>0</v>
      </c>
      <c r="N179" s="38">
        <f>'[1]WSS 2015'!N179</f>
        <v>0</v>
      </c>
      <c r="O179" s="88">
        <f>'[1]WSS 2015'!O179</f>
        <v>0</v>
      </c>
    </row>
    <row r="180" spans="1:15">
      <c r="A180" s="2378"/>
      <c r="B180" s="1855"/>
      <c r="C180" s="110">
        <v>2016</v>
      </c>
      <c r="D180" s="37">
        <v>30</v>
      </c>
      <c r="E180" s="38">
        <v>1</v>
      </c>
      <c r="F180" s="38">
        <v>5</v>
      </c>
      <c r="G180" s="284">
        <v>36</v>
      </c>
      <c r="H180" s="411">
        <v>51</v>
      </c>
      <c r="I180" s="112">
        <v>1</v>
      </c>
      <c r="J180" s="38">
        <v>1</v>
      </c>
      <c r="K180" s="38">
        <v>12</v>
      </c>
      <c r="L180" s="38">
        <v>11</v>
      </c>
      <c r="M180" s="38">
        <v>0</v>
      </c>
      <c r="N180" s="38">
        <v>0</v>
      </c>
      <c r="O180" s="88">
        <v>11</v>
      </c>
    </row>
    <row r="181" spans="1:15">
      <c r="A181" s="2378"/>
      <c r="B181" s="1855"/>
      <c r="C181" s="110">
        <v>2017</v>
      </c>
      <c r="D181" s="37">
        <v>184</v>
      </c>
      <c r="E181" s="38">
        <v>0</v>
      </c>
      <c r="F181" s="38">
        <v>0</v>
      </c>
      <c r="G181" s="284">
        <v>184</v>
      </c>
      <c r="H181" s="411">
        <v>408</v>
      </c>
      <c r="I181" s="112">
        <v>139</v>
      </c>
      <c r="J181" s="38">
        <v>0</v>
      </c>
      <c r="K181" s="38">
        <v>7</v>
      </c>
      <c r="L181" s="38">
        <v>6</v>
      </c>
      <c r="M181" s="38">
        <v>26</v>
      </c>
      <c r="N181" s="38">
        <v>0</v>
      </c>
      <c r="O181" s="38">
        <v>6</v>
      </c>
    </row>
    <row r="182" spans="1:15">
      <c r="A182" s="2378"/>
      <c r="B182" s="1855"/>
      <c r="C182" s="110">
        <v>2018</v>
      </c>
      <c r="D182" s="37"/>
      <c r="E182" s="38"/>
      <c r="F182" s="38"/>
      <c r="G182" s="284">
        <v>0</v>
      </c>
      <c r="H182" s="411"/>
      <c r="I182" s="112"/>
      <c r="J182" s="38"/>
      <c r="K182" s="38"/>
      <c r="L182" s="38"/>
      <c r="M182" s="38"/>
      <c r="N182" s="38"/>
      <c r="O182" s="88"/>
    </row>
    <row r="183" spans="1:15">
      <c r="A183" s="2378"/>
      <c r="B183" s="1855"/>
      <c r="C183" s="110">
        <v>2019</v>
      </c>
      <c r="D183" s="37"/>
      <c r="E183" s="38"/>
      <c r="F183" s="38"/>
      <c r="G183" s="284">
        <v>0</v>
      </c>
      <c r="H183" s="411"/>
      <c r="I183" s="112"/>
      <c r="J183" s="38"/>
      <c r="K183" s="38"/>
      <c r="L183" s="38"/>
      <c r="M183" s="38"/>
      <c r="N183" s="38"/>
      <c r="O183" s="88"/>
    </row>
    <row r="184" spans="1:15">
      <c r="A184" s="2378"/>
      <c r="B184" s="1855"/>
      <c r="C184" s="110">
        <v>2020</v>
      </c>
      <c r="D184" s="37"/>
      <c r="E184" s="38"/>
      <c r="F184" s="38"/>
      <c r="G184" s="284">
        <v>0</v>
      </c>
      <c r="H184" s="411"/>
      <c r="I184" s="112"/>
      <c r="J184" s="38"/>
      <c r="K184" s="38"/>
      <c r="L184" s="38"/>
      <c r="M184" s="38"/>
      <c r="N184" s="38"/>
      <c r="O184" s="88"/>
    </row>
    <row r="185" spans="1:15" ht="124.5" customHeight="1" thickBot="1">
      <c r="A185" s="1856"/>
      <c r="B185" s="1857"/>
      <c r="C185" s="113" t="s">
        <v>13</v>
      </c>
      <c r="D185" s="139">
        <v>190</v>
      </c>
      <c r="E185" s="116">
        <v>0</v>
      </c>
      <c r="F185" s="116">
        <v>3</v>
      </c>
      <c r="G185" s="220">
        <v>193</v>
      </c>
      <c r="H185" s="285">
        <v>413</v>
      </c>
      <c r="I185" s="115">
        <v>0</v>
      </c>
      <c r="J185" s="116">
        <v>0</v>
      </c>
      <c r="K185" s="116">
        <v>7</v>
      </c>
      <c r="L185" s="116">
        <v>6</v>
      </c>
      <c r="M185" s="116">
        <v>26</v>
      </c>
      <c r="N185" s="116">
        <v>0</v>
      </c>
      <c r="O185" s="117">
        <v>6</v>
      </c>
    </row>
    <row r="186" spans="1:15" ht="33" customHeight="1" thickBot="1"/>
    <row r="187" spans="1:15" ht="19.5" customHeight="1">
      <c r="A187" s="2379" t="s">
        <v>137</v>
      </c>
      <c r="B187" s="2466" t="s">
        <v>182</v>
      </c>
      <c r="C187" s="1865" t="s">
        <v>9</v>
      </c>
      <c r="D187" s="1867" t="s">
        <v>138</v>
      </c>
      <c r="E187" s="2467"/>
      <c r="F187" s="2467"/>
      <c r="G187" s="2382"/>
      <c r="H187" s="2383" t="s">
        <v>139</v>
      </c>
      <c r="I187" s="1865"/>
      <c r="J187" s="1865"/>
      <c r="K187" s="1865"/>
      <c r="L187" s="1871"/>
    </row>
    <row r="188" spans="1:15" ht="115.5">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2408" t="str">
        <f>CONCATENATE('[1]WSS 2015'!B189:B196,'[1]WSS 2016_2017 stan 31.12.2017'!A189:B196)</f>
        <v xml:space="preserve"> 1. Szkolenie związane ze zmianami w przepisach dotyczących działania Program rolnośrodowiskowy PROW 2007-2013 oraz działań: Działanie rolno - środowiskowo - klimatyczne  i Rolnictwo ekologiczne PROW 2014-2020, (24.03.)                                                                                                                                                           2.Szkolenia dla hodowców zwierząt Pakietu 7. Działania rolno-środowiskowo-klimatycznego w ramach PROW 2014-2020. (8-9.11;15-16.11;17-18.11;19-20.11;22-23.11)                  1. Dobre Praktyki w  ramach Działania rolno-środowiskowo-klimatycznego i działania Rolnictwo Ekologiczne;                                                                                                                                                                                                                                              2. Seminarium dotyczącego realizacji działania „Zalesianie i tworzenie terenów zalesionych” objętego Programem Rozwoju Obszarów Wiejskich na lata 2014-2020, w terminie  13-14 października 2016 roku. 7. Udział w warsztatach pod hasłem „Środki rolno-środowiskowo-klimatyczne: trudności w kontrolowaniu i weryfikowaniu” (Bruksela 6-7.12); 1. Udział w spotkaniu dwustronnym RD2/2016/006/PL - dot. postępowanie audytowe (działanie 10, 11 i 13 PROW 2014-2020) - (Bruksela 12-13.12)                                                                                                                                                                                                                                                                                                                              2. Udział  w posiedzeniu Grupy ekspertów ds. płatności bezpośrednich oraz Rozwoju Obszarów Wiejskich (Bruksela 18.01);                                                                             
3. Udział w spotkaniu dyrektorów ds. Rozwoju Obszarów Wiejskich (Haarlem, Holandia, 20-22.04);                                                                                                                                                                                                                                                                   4. Udział w Seminarium pt. „European seminar on agri-environment-climate measures (AECM)” (Paryż, Francja, 8-9.09);                                                                  
5. Udział w konferencji „Przyroda Karpat – stan, zagrożenia i perspektywy ochrony” ( Kraków 14-15.09);                                                                                                                                                                                                                                                                                                                                                                                                                                                                                                                                     
6.  Irlandia na Europejskiej Konferencji dotyczącej rozwoju obszarów wiejskich, która odbyła się w dniach 5-6 września 2016 roku, w Cork (Irlandia) (wyjazd 5.09.2016  powrót był 7.09.2016);                                                                                                                                                                                                                                                                                                                                                                                                                                                                                                                                                                                                                                                                                                                                                                                                                                                                                                                                                                                             7. Udział w posiedzeniu do spraw Rozwoju Obszarów Wiejskich (17 luty Bruksela);                                                                                                                                                                                                                                                                                                     8. Grupa ekspertów ds. monitorowania i ewaluacji WPR (17-18 listopada Bruksela);                                                                                                                                                                                                                                                                                                               9. Warsztaty zorganizowane przez European Evaluation Helpdesk-poświęcone ocenie programów rozwoju obszarów wiejskich pod kątem ich wpływu na zachowanie/ rozwoju gospodarowania sprzyjającego zachowaniu bioróżnorodności i krajobrazu (BONN);                                                                                                                                                                                                                                                                                                                                                                                                10. Spotkanie Agri Environment Correspondents (Bruksela 26-27.04).   * W szkoleniach brali udział właściciele Zagród Edukacyjnych zagród edukacyjnych, członkowie ich rodzin oraz osoby zainteresowane zarejestrowaniem swojej zagrody edukacyjnej w Ogólnopolskiej Sieci Zagród Edukacyjnych.  DPB
1. Szkolenie dotycząse w drażania Działania rolno-środowiskowoo-klimatycznego i Działania Rolnictwo ekologiczne w ramach PROW 2014-2020 od 2017 r. (13.04)                                                                                                                                                                                                                                                                                                                     2. Zasoby genetyczne w rolnictwie (15-16.11)  
SAR
Szkolenia dla doradców świadczących doradztwo w ramach PROW 2014-2020
DROW
1.  543 uczestników 2 cykli dwudniowych warsztatów, z których każdy składał się z 8 warsztatów;
2. 253 uczestników 1 cyklu jednodniowych warsztatów składającego się z 8 spotkań;
3. 50 uczestników 2 jednodniowych szkoleń;
SAR
W szkoleniach z zakresu pierwszej pomocy brali udział właściciele zagród edukacyjnych, członkowie ich rodzin oraz osoby zainteresowane zarejestrowaniem swojej zagrody edukacyjnej w Ogólnopolskiej Sieci Zagród Edukacyjnych. W szkoleniu dla koordynatorów Sieci Zagród brali udział doradcy zatrudnieni w ODR oraz inne osoby zaangażowane w OSZE (pracownicy MRiRW oraz eksperci).
1. Spotkanie dotyczące palnownaych zmian przepisów rozporządzeń MRiRW w zakresie Działania rolno-środowiskowo-klimatycznego i działania Rolnictwo Ekologiczne w ramach PROW 2014-2020 (W-wa 26.07);                                                                                                                                                                                   2.Konferencja pt. Wdrażanie Krajowej Strategii zrównoważonego użytkowania i ochrony zasobów genetycznych zwierząt gospodarskich: osiągnięcia i wyzwania,,  (Kraków 19.10);                                                                                                                                                                                                                            3.Konferencja „Rasy rodzime gwarantem produktów wysokiej jakości” (Nadarzyn 01.12);                                                                                                           4.Wspólne posiedzenie Komitetu ds. Funduszy Rolniczych i Komitetu ds. Rozwoju Obszarów Wiejskich (Bruksela 14.06);                                                        5. Komitet ds. Rozwoju Obszarów Wiejskich ( Bruksela 04.10);
6. Warsztaty pn. "Opracowanie raportu z wdrażania Konwencji Ramsarskie"  (Wożnawieś 12-13.09);                                                                                       7.Warsztaty pt. "Natura 2000: efektywne wykorzystanie możliwości wsparcia w ramach polityki rozwoju obszarów wiejskich" (Bruksela 28.09);   8.  Szkolenie dla doradców rolnośrodowiskowych (Radom 08.02);
9.  Konferencja PROW 2014-2020 (Sokółka 13.05);
10.  Międzynarodowe Targi Rolno-Przemysłowe AGRO – TECH (Minikowo 30.06.-02.07);
11. Konferencja „Upowszechnianie wiedzy w zakresie jakości żywności”(Łódź 12.10);                                                                                                                                                                                                                                                                                                                                                                                  12. Targi: Regionalna Wystawa Zwierząt Hodowlanych (Szepietowo 24-25.06.2017);                                                                                                                                                                                                                                                                                                                                                                                                 13. Seminarium dotyczącego realizacji działania „Zalesianie i tworzenie terenów zalesionych” objętego Programem Rozwoju Obszarów Wiejskich na lata 2014-2020, w terminie  12 grudnia 2017 roku.</v>
      </c>
      <c r="B189" s="1855"/>
      <c r="C189" s="290">
        <v>2014</v>
      </c>
      <c r="D189" s="133"/>
      <c r="E189" s="109"/>
      <c r="F189" s="109"/>
      <c r="G189" s="291">
        <v>0</v>
      </c>
      <c r="H189" s="108"/>
      <c r="I189" s="109"/>
      <c r="J189" s="109"/>
      <c r="K189" s="109"/>
      <c r="L189" s="134"/>
    </row>
    <row r="190" spans="1:15">
      <c r="A190" s="2378"/>
      <c r="B190" s="1855"/>
      <c r="C190" s="73">
        <v>2015</v>
      </c>
      <c r="D190" s="37">
        <f>'[1]WSS 2015'!D190</f>
        <v>0</v>
      </c>
      <c r="E190" s="37">
        <f>'[1]WSS 2015'!E190</f>
        <v>29</v>
      </c>
      <c r="F190" s="38">
        <f>'[1]WSS 2015'!F190</f>
        <v>0</v>
      </c>
      <c r="G190" s="291">
        <f>'[1]WSS 2015'!G190</f>
        <v>29</v>
      </c>
      <c r="H190" s="112">
        <f>'[1]WSS 2015'!H190</f>
        <v>29</v>
      </c>
      <c r="I190" s="38">
        <f>'[1]WSS 2015'!I190</f>
        <v>0</v>
      </c>
      <c r="J190" s="38">
        <f>'[1]WSS 2015'!J190</f>
        <v>0</v>
      </c>
      <c r="K190" s="38">
        <f>'[1]WSS 2015'!K190</f>
        <v>0</v>
      </c>
      <c r="L190" s="88">
        <f>'[1]WSS 2015'!L190</f>
        <v>0</v>
      </c>
    </row>
    <row r="191" spans="1:15">
      <c r="A191" s="2378"/>
      <c r="B191" s="1855"/>
      <c r="C191" s="73">
        <v>2016</v>
      </c>
      <c r="D191" s="37">
        <v>3751</v>
      </c>
      <c r="E191" s="38">
        <v>34</v>
      </c>
      <c r="F191" s="38">
        <v>61</v>
      </c>
      <c r="G191" s="291">
        <v>3846</v>
      </c>
      <c r="H191" s="112">
        <v>104</v>
      </c>
      <c r="I191" s="38">
        <v>388</v>
      </c>
      <c r="J191" s="38">
        <v>2148</v>
      </c>
      <c r="K191" s="38">
        <v>65</v>
      </c>
      <c r="L191" s="88">
        <v>1141</v>
      </c>
    </row>
    <row r="192" spans="1:15">
      <c r="A192" s="2378"/>
      <c r="B192" s="1855"/>
      <c r="C192" s="73">
        <v>2017</v>
      </c>
      <c r="D192" s="37">
        <v>4569</v>
      </c>
      <c r="E192" s="38">
        <v>0</v>
      </c>
      <c r="F192" s="38">
        <v>0</v>
      </c>
      <c r="G192" s="291">
        <v>4569</v>
      </c>
      <c r="H192" s="112">
        <v>101</v>
      </c>
      <c r="I192" s="38">
        <v>846</v>
      </c>
      <c r="J192" s="38">
        <v>3416</v>
      </c>
      <c r="K192" s="38">
        <v>0</v>
      </c>
      <c r="L192" s="88">
        <v>206</v>
      </c>
    </row>
    <row r="193" spans="1:14">
      <c r="A193" s="2378"/>
      <c r="B193" s="1855"/>
      <c r="C193" s="73">
        <v>2018</v>
      </c>
      <c r="D193" s="37"/>
      <c r="E193" s="38"/>
      <c r="F193" s="38"/>
      <c r="G193" s="291">
        <v>0</v>
      </c>
      <c r="H193" s="112"/>
      <c r="I193" s="38"/>
      <c r="J193" s="38"/>
      <c r="K193" s="38"/>
      <c r="L193" s="88"/>
    </row>
    <row r="194" spans="1:14">
      <c r="A194" s="2378"/>
      <c r="B194" s="1855"/>
      <c r="C194" s="73">
        <v>2019</v>
      </c>
      <c r="D194" s="37"/>
      <c r="E194" s="38"/>
      <c r="F194" s="38"/>
      <c r="G194" s="291">
        <v>0</v>
      </c>
      <c r="H194" s="112"/>
      <c r="I194" s="38"/>
      <c r="J194" s="38"/>
      <c r="K194" s="38"/>
      <c r="L194" s="88"/>
    </row>
    <row r="195" spans="1:14">
      <c r="A195" s="2378"/>
      <c r="B195" s="1855"/>
      <c r="C195" s="73">
        <v>2020</v>
      </c>
      <c r="D195" s="37"/>
      <c r="E195" s="38"/>
      <c r="F195" s="38"/>
      <c r="G195" s="291">
        <v>0</v>
      </c>
      <c r="H195" s="112"/>
      <c r="I195" s="38"/>
      <c r="J195" s="38"/>
      <c r="K195" s="38"/>
      <c r="L195" s="88"/>
    </row>
    <row r="196" spans="1:14" ht="111.75" customHeight="1" thickBot="1">
      <c r="A196" s="1856"/>
      <c r="B196" s="1857"/>
      <c r="C196" s="136" t="s">
        <v>13</v>
      </c>
      <c r="D196" s="139">
        <v>97</v>
      </c>
      <c r="E196" s="116">
        <v>0</v>
      </c>
      <c r="F196" s="116">
        <v>0</v>
      </c>
      <c r="G196" s="292">
        <v>97</v>
      </c>
      <c r="H196" s="115">
        <v>75</v>
      </c>
      <c r="I196" s="116">
        <v>0</v>
      </c>
      <c r="J196" s="116">
        <v>22</v>
      </c>
      <c r="K196" s="116">
        <v>0</v>
      </c>
      <c r="L196" s="117">
        <v>0</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1805" t="s">
        <v>150</v>
      </c>
      <c r="B201" s="417" t="s">
        <v>182</v>
      </c>
      <c r="C201" s="298" t="s">
        <v>9</v>
      </c>
      <c r="D201" s="1764" t="s">
        <v>151</v>
      </c>
      <c r="E201" s="300" t="s">
        <v>152</v>
      </c>
      <c r="F201" s="300" t="s">
        <v>153</v>
      </c>
      <c r="G201" s="298" t="s">
        <v>154</v>
      </c>
      <c r="H201" s="1836" t="s">
        <v>155</v>
      </c>
      <c r="I201" s="1765" t="s">
        <v>156</v>
      </c>
      <c r="J201" s="1766" t="s">
        <v>157</v>
      </c>
      <c r="K201" s="300" t="s">
        <v>158</v>
      </c>
      <c r="L201" s="304" t="s">
        <v>159</v>
      </c>
    </row>
    <row r="202" spans="1:14" ht="15" customHeight="1">
      <c r="A202" s="2408" t="str">
        <f>CONCATENATE('[1]WSS 2015'!B202:B209,'[1]WSS 2016_2017 stan 31.12.2017'!A202:B209)</f>
        <v xml:space="preserve">      DROW
1. umożliwienie udziału przedstawicieli LGD w 4 zagranicznych spotkaniach mających na celu skojarzenie potencjalnych partnerów projektów współpracy międzynarodowej</v>
      </c>
      <c r="B202" s="1855"/>
      <c r="C202" s="72">
        <v>2014</v>
      </c>
      <c r="D202" s="30"/>
      <c r="E202" s="31"/>
      <c r="F202" s="31"/>
      <c r="G202" s="29"/>
      <c r="H202" s="305"/>
      <c r="I202" s="306"/>
      <c r="J202" s="307"/>
      <c r="K202" s="31"/>
      <c r="L202" s="34"/>
    </row>
    <row r="203" spans="1:14">
      <c r="A203" s="2378"/>
      <c r="B203" s="1855"/>
      <c r="C203" s="73">
        <v>2015</v>
      </c>
      <c r="D203" s="37">
        <f>'[1]WSS 2015'!D203</f>
        <v>0</v>
      </c>
      <c r="E203" s="37">
        <f>'[1]WSS 2015'!E203</f>
        <v>0</v>
      </c>
      <c r="F203" s="38">
        <f>'[1]WSS 2015'!F203</f>
        <v>0</v>
      </c>
      <c r="G203" s="291">
        <f>'[1]WSS 2015'!G203</f>
        <v>0</v>
      </c>
      <c r="H203" s="112">
        <f>'[1]WSS 2015'!H203</f>
        <v>0</v>
      </c>
      <c r="I203" s="38">
        <f>'[1]WSS 2015'!I203</f>
        <v>0</v>
      </c>
      <c r="J203" s="38">
        <f>'[1]WSS 2015'!J203</f>
        <v>1</v>
      </c>
      <c r="K203" s="38">
        <f>'[1]WSS 2015'!K203</f>
        <v>29</v>
      </c>
      <c r="L203" s="88">
        <f>'[1]WSS 2015'!L203</f>
        <v>0</v>
      </c>
    </row>
    <row r="204" spans="1:14">
      <c r="A204" s="2378"/>
      <c r="B204" s="1855"/>
      <c r="C204" s="73">
        <v>2016</v>
      </c>
      <c r="D204" s="37">
        <v>0</v>
      </c>
      <c r="E204" s="38">
        <v>0</v>
      </c>
      <c r="F204" s="38">
        <v>0</v>
      </c>
      <c r="G204" s="36">
        <v>0</v>
      </c>
      <c r="H204" s="308">
        <v>0</v>
      </c>
      <c r="I204" s="309">
        <v>0</v>
      </c>
      <c r="J204" s="310">
        <v>0</v>
      </c>
      <c r="K204" s="38">
        <v>0</v>
      </c>
      <c r="L204" s="88">
        <v>0</v>
      </c>
    </row>
    <row r="205" spans="1:14">
      <c r="A205" s="2378"/>
      <c r="B205" s="1855"/>
      <c r="C205" s="73">
        <v>2017</v>
      </c>
      <c r="D205" s="37">
        <v>4</v>
      </c>
      <c r="E205" s="38">
        <v>0</v>
      </c>
      <c r="F205" s="38">
        <v>0</v>
      </c>
      <c r="G205" s="38">
        <v>0</v>
      </c>
      <c r="H205" s="38">
        <v>0</v>
      </c>
      <c r="I205" s="38">
        <v>0</v>
      </c>
      <c r="J205" s="38">
        <v>0</v>
      </c>
      <c r="K205" s="38">
        <v>13</v>
      </c>
      <c r="L205" s="88">
        <v>0</v>
      </c>
    </row>
    <row r="206" spans="1:14">
      <c r="A206" s="2378"/>
      <c r="B206" s="1855"/>
      <c r="C206" s="73">
        <v>2018</v>
      </c>
      <c r="D206" s="37"/>
      <c r="E206" s="38"/>
      <c r="F206" s="38"/>
      <c r="G206" s="36"/>
      <c r="H206" s="308"/>
      <c r="I206" s="309"/>
      <c r="J206" s="310"/>
      <c r="K206" s="38"/>
      <c r="L206" s="88"/>
    </row>
    <row r="207" spans="1:14">
      <c r="A207" s="2378"/>
      <c r="B207" s="1855"/>
      <c r="C207" s="73">
        <v>2019</v>
      </c>
      <c r="D207" s="37"/>
      <c r="E207" s="38"/>
      <c r="F207" s="38"/>
      <c r="G207" s="36"/>
      <c r="H207" s="308"/>
      <c r="I207" s="309"/>
      <c r="J207" s="310"/>
      <c r="K207" s="38"/>
      <c r="L207" s="88"/>
    </row>
    <row r="208" spans="1:14">
      <c r="A208" s="2378"/>
      <c r="B208" s="1855"/>
      <c r="C208" s="73">
        <v>2020</v>
      </c>
      <c r="D208" s="1800"/>
      <c r="E208" s="312"/>
      <c r="F208" s="312"/>
      <c r="G208" s="313"/>
      <c r="H208" s="314"/>
      <c r="I208" s="315"/>
      <c r="J208" s="316"/>
      <c r="K208" s="312"/>
      <c r="L208" s="317"/>
    </row>
    <row r="209" spans="1:12" ht="20.25" customHeight="1" thickBot="1">
      <c r="A209" s="1856"/>
      <c r="B209" s="1857"/>
      <c r="C209" s="136" t="s">
        <v>13</v>
      </c>
      <c r="D209" s="139">
        <v>4</v>
      </c>
      <c r="E209" s="139">
        <v>0</v>
      </c>
      <c r="F209" s="139">
        <v>0</v>
      </c>
      <c r="G209" s="139">
        <v>0</v>
      </c>
      <c r="H209" s="139">
        <v>0</v>
      </c>
      <c r="I209" s="139">
        <v>0</v>
      </c>
      <c r="J209" s="139">
        <v>0</v>
      </c>
      <c r="K209" s="139">
        <v>13</v>
      </c>
      <c r="L209" s="1785">
        <v>0</v>
      </c>
    </row>
    <row r="211" spans="1:12" ht="15.75" thickBot="1"/>
    <row r="212" spans="1:12" s="1802" customFormat="1" ht="15" customHeight="1">
      <c r="A212" s="1806" t="s">
        <v>161</v>
      </c>
      <c r="B212" s="1786" t="s">
        <v>162</v>
      </c>
      <c r="C212" s="1787">
        <v>2014</v>
      </c>
      <c r="D212" s="1787">
        <v>2015</v>
      </c>
      <c r="E212" s="1787">
        <v>2016</v>
      </c>
      <c r="F212" s="1787">
        <v>2017</v>
      </c>
      <c r="G212" s="1787">
        <v>2018</v>
      </c>
      <c r="H212" s="1787">
        <v>2019</v>
      </c>
      <c r="I212" s="1787">
        <v>2020</v>
      </c>
    </row>
    <row r="213" spans="1:12" ht="15" customHeight="1">
      <c r="A213" t="s">
        <v>163</v>
      </c>
      <c r="B213" s="2471" t="str">
        <f>CONCATENATE('[1]WSS 2015'!B213:B219,'[1]WSS 2016_2017 stan 31.12.2017'!B213:B219)</f>
        <v>W powyższych tabelach nie uwzględniono kosztów delegacji w kwocie 27363,92 zł.
W ramach kosztów funkcjonowania wliczono koszty delegacji krajowych, zagranicznych, szkoleń, kursów językowych, wynagrodzeń osobowych, bezosobowych, tłumaczeń, materiałów, usług teleinformatycznyc,h eksploatacyjnych przypadających na pracowników zaangażowanych w realizację zadań w ramach KSOW.W ramach kosztów funkcjonowania wliczono koszty delegacji krajowych, szkoleń, kursów językowych, wynagrodzeń osobowych, bezosobowych, ekspertyz, ksiegi wizualizacji, utrzymania portalu KSOW, usług remontowych, wyposażenia stanowisk pracy osób zajmujacych się KSOW, tłumaczeń, organizacji spotkań, materiałów, usług teleinformatycznych, eksploatacyjnych przypadających na pracowników zaangażowanych w realizację zadań w ramach KSOW.</v>
      </c>
      <c r="C213" s="1185"/>
      <c r="D213" s="1788">
        <f>SUM(D214:D217)</f>
        <v>2055703.89</v>
      </c>
      <c r="E213" s="1788">
        <v>3466238.2</v>
      </c>
      <c r="F213" s="1788">
        <v>7254781.2599999998</v>
      </c>
      <c r="G213" s="1187"/>
      <c r="H213" s="1187"/>
      <c r="I213" s="1187"/>
    </row>
    <row r="214" spans="1:12">
      <c r="A214" t="s">
        <v>164</v>
      </c>
      <c r="B214" s="2472"/>
      <c r="C214" s="1185"/>
      <c r="D214" s="1788">
        <v>644237.27</v>
      </c>
      <c r="E214" s="1788">
        <v>1546155.26</v>
      </c>
      <c r="F214" s="1788">
        <v>3289122.7800000003</v>
      </c>
      <c r="G214" s="1187"/>
      <c r="H214" s="1187"/>
      <c r="I214" s="1187"/>
    </row>
    <row r="215" spans="1:12">
      <c r="A215" t="s">
        <v>165</v>
      </c>
      <c r="B215" s="2472"/>
      <c r="C215" s="1185"/>
      <c r="D215" s="1788">
        <v>0</v>
      </c>
      <c r="E215" s="1788">
        <v>0</v>
      </c>
      <c r="F215" s="1788">
        <v>2004.9</v>
      </c>
      <c r="G215" s="1187"/>
      <c r="H215" s="1187"/>
      <c r="I215" s="1187"/>
    </row>
    <row r="216" spans="1:12">
      <c r="A216" t="s">
        <v>166</v>
      </c>
      <c r="B216" s="2472"/>
      <c r="C216" s="1185"/>
      <c r="D216" s="1788">
        <v>1259839.7</v>
      </c>
      <c r="E216" s="1788">
        <v>1022068.6900000001</v>
      </c>
      <c r="F216" s="1788">
        <v>1474731.27</v>
      </c>
      <c r="G216" s="1187"/>
      <c r="H216" s="1187"/>
      <c r="I216" s="1187"/>
    </row>
    <row r="217" spans="1:12">
      <c r="A217" t="s">
        <v>167</v>
      </c>
      <c r="B217" s="2472"/>
      <c r="C217" s="1185"/>
      <c r="D217" s="1788">
        <v>151626.92000000001</v>
      </c>
      <c r="E217" s="1788">
        <v>898014.24999999988</v>
      </c>
      <c r="F217" s="1788">
        <v>2488922.31</v>
      </c>
      <c r="G217" s="1187"/>
      <c r="H217" s="1187"/>
      <c r="I217" s="1187"/>
    </row>
    <row r="218" spans="1:12" s="1792" customFormat="1" ht="32.25" customHeight="1">
      <c r="A218" s="1801" t="s">
        <v>168</v>
      </c>
      <c r="B218" s="2472"/>
      <c r="C218" s="1789"/>
      <c r="D218" s="1788">
        <v>1686772.08</v>
      </c>
      <c r="E218" s="1790">
        <v>3010693.06</v>
      </c>
      <c r="F218" s="1788">
        <v>3272609.97</v>
      </c>
      <c r="G218" s="1791"/>
      <c r="H218" s="1791"/>
      <c r="I218" s="1791"/>
    </row>
    <row r="219" spans="1:12" ht="120.75" customHeight="1" thickBot="1">
      <c r="A219" s="242"/>
      <c r="B219" s="2473"/>
      <c r="C219" s="1793"/>
      <c r="D219" s="1794">
        <f>SUM(D214:D218)</f>
        <v>3742475.9699999997</v>
      </c>
      <c r="E219" s="1794">
        <v>6476931.2624249924</v>
      </c>
      <c r="F219" s="1794">
        <v>10527391.228868667</v>
      </c>
      <c r="G219" s="1793">
        <v>0</v>
      </c>
      <c r="H219" s="1793">
        <v>0</v>
      </c>
      <c r="I219" s="1793">
        <v>0</v>
      </c>
    </row>
    <row r="221" spans="1:12" ht="15.75" customHeight="1"/>
    <row r="222" spans="1:12" ht="14.25" customHeight="1">
      <c r="D222" s="1795"/>
    </row>
    <row r="223" spans="1:12">
      <c r="D223" s="327"/>
    </row>
    <row r="224" spans="1:12">
      <c r="J224" s="327"/>
    </row>
    <row r="226" spans="1:8">
      <c r="C226" s="7"/>
    </row>
    <row r="227" spans="1:8">
      <c r="A227" s="56"/>
      <c r="C227" s="7"/>
    </row>
    <row r="228" spans="1:8">
      <c r="C228" s="7"/>
    </row>
    <row r="229" spans="1:8">
      <c r="C229" s="7"/>
    </row>
    <row r="230" spans="1:8">
      <c r="C230" s="7"/>
    </row>
    <row r="231" spans="1:8" s="1796" customFormat="1">
      <c r="D231"/>
      <c r="E231"/>
      <c r="F231"/>
      <c r="G231"/>
      <c r="H231"/>
    </row>
  </sheetData>
  <mergeCells count="55">
    <mergeCell ref="A28:B35"/>
    <mergeCell ref="F3:O3"/>
    <mergeCell ref="A4:O10"/>
    <mergeCell ref="D15:G15"/>
    <mergeCell ref="A17:B24"/>
    <mergeCell ref="D26:G26"/>
    <mergeCell ref="A62:B69"/>
    <mergeCell ref="A72:B79"/>
    <mergeCell ref="A85:B92"/>
    <mergeCell ref="A96:A97"/>
    <mergeCell ref="B96:B97"/>
    <mergeCell ref="A40:B47"/>
    <mergeCell ref="A50:B58"/>
    <mergeCell ref="A60:A61"/>
    <mergeCell ref="C60:C61"/>
    <mergeCell ref="D60:D61"/>
    <mergeCell ref="B142:B143"/>
    <mergeCell ref="C142:C143"/>
    <mergeCell ref="B107:B108"/>
    <mergeCell ref="C96:C97"/>
    <mergeCell ref="D96:E96"/>
    <mergeCell ref="A98:B105"/>
    <mergeCell ref="C107:C108"/>
    <mergeCell ref="D107:D108"/>
    <mergeCell ref="A109:B116"/>
    <mergeCell ref="A107:A108"/>
    <mergeCell ref="J142:N142"/>
    <mergeCell ref="A153:A154"/>
    <mergeCell ref="B153:B154"/>
    <mergeCell ref="C153:C154"/>
    <mergeCell ref="A144:B151"/>
    <mergeCell ref="A118:A119"/>
    <mergeCell ref="B118:B119"/>
    <mergeCell ref="C118:C119"/>
    <mergeCell ref="D118:D119"/>
    <mergeCell ref="A120:B127"/>
    <mergeCell ref="A129:A130"/>
    <mergeCell ref="B129:B130"/>
    <mergeCell ref="A131:B137"/>
    <mergeCell ref="A142:A143"/>
    <mergeCell ref="A155:B162"/>
    <mergeCell ref="A165:B172"/>
    <mergeCell ref="A189:B196"/>
    <mergeCell ref="A202:B209"/>
    <mergeCell ref="B213:B219"/>
    <mergeCell ref="I176:O176"/>
    <mergeCell ref="A178:B185"/>
    <mergeCell ref="A187:A188"/>
    <mergeCell ref="B187:B188"/>
    <mergeCell ref="C187:C188"/>
    <mergeCell ref="D187:G187"/>
    <mergeCell ref="H187:L187"/>
    <mergeCell ref="A176:A177"/>
    <mergeCell ref="B176:B177"/>
    <mergeCell ref="C176:C17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28"/>
  <sheetViews>
    <sheetView topLeftCell="C10" zoomScale="80" zoomScaleNormal="80" workbookViewId="0">
      <selection activeCell="H18" sqref="H18:O18"/>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193</v>
      </c>
      <c r="C1" s="1944"/>
      <c r="D1" s="1944"/>
      <c r="E1" s="1944"/>
      <c r="F1" s="1944"/>
    </row>
    <row r="2" spans="1:25" s="1" customFormat="1" ht="20.100000000000001" customHeight="1" thickBot="1"/>
    <row r="3" spans="1:25" s="4" customFormat="1" ht="20.100000000000001" customHeight="1">
      <c r="A3" s="2" t="s">
        <v>2</v>
      </c>
      <c r="B3" s="3"/>
      <c r="C3" s="3"/>
      <c r="D3" s="3"/>
      <c r="E3" s="3"/>
      <c r="F3" s="1945"/>
      <c r="G3" s="1945"/>
      <c r="H3" s="1945"/>
      <c r="I3" s="1945"/>
      <c r="J3" s="1945"/>
      <c r="K3" s="1945"/>
      <c r="L3" s="1945"/>
      <c r="M3" s="1945"/>
      <c r="N3" s="1945"/>
      <c r="O3" s="1946"/>
    </row>
    <row r="4" spans="1:25" s="4" customFormat="1" ht="20.100000000000001" customHeight="1">
      <c r="A4" s="1947" t="s">
        <v>170</v>
      </c>
      <c r="B4" s="1948"/>
      <c r="C4" s="1948"/>
      <c r="D4" s="1948"/>
      <c r="E4" s="1948"/>
      <c r="F4" s="1948"/>
      <c r="G4" s="1948"/>
      <c r="H4" s="1948"/>
      <c r="I4" s="1948"/>
      <c r="J4" s="1948"/>
      <c r="K4" s="1948"/>
      <c r="L4" s="1948"/>
      <c r="M4" s="1948"/>
      <c r="N4" s="1948"/>
      <c r="O4" s="1949"/>
    </row>
    <row r="5" spans="1:25" s="4" customFormat="1" ht="20.100000000000001" customHeight="1">
      <c r="A5" s="1947"/>
      <c r="B5" s="1948"/>
      <c r="C5" s="1948"/>
      <c r="D5" s="1948"/>
      <c r="E5" s="1948"/>
      <c r="F5" s="1948"/>
      <c r="G5" s="1948"/>
      <c r="H5" s="1948"/>
      <c r="I5" s="1948"/>
      <c r="J5" s="1948"/>
      <c r="K5" s="1948"/>
      <c r="L5" s="1948"/>
      <c r="M5" s="1948"/>
      <c r="N5" s="1948"/>
      <c r="O5" s="1949"/>
    </row>
    <row r="6" spans="1:25" s="4" customFormat="1" ht="20.100000000000001" customHeight="1">
      <c r="A6" s="1947"/>
      <c r="B6" s="1948"/>
      <c r="C6" s="1948"/>
      <c r="D6" s="1948"/>
      <c r="E6" s="1948"/>
      <c r="F6" s="1948"/>
      <c r="G6" s="1948"/>
      <c r="H6" s="1948"/>
      <c r="I6" s="1948"/>
      <c r="J6" s="1948"/>
      <c r="K6" s="1948"/>
      <c r="L6" s="1948"/>
      <c r="M6" s="1948"/>
      <c r="N6" s="1948"/>
      <c r="O6" s="1949"/>
    </row>
    <row r="7" spans="1:25" s="4" customFormat="1" ht="20.100000000000001" customHeight="1">
      <c r="A7" s="1947"/>
      <c r="B7" s="1948"/>
      <c r="C7" s="1948"/>
      <c r="D7" s="1948"/>
      <c r="E7" s="1948"/>
      <c r="F7" s="1948"/>
      <c r="G7" s="1948"/>
      <c r="H7" s="1948"/>
      <c r="I7" s="1948"/>
      <c r="J7" s="1948"/>
      <c r="K7" s="1948"/>
      <c r="L7" s="1948"/>
      <c r="M7" s="1948"/>
      <c r="N7" s="1948"/>
      <c r="O7" s="1949"/>
    </row>
    <row r="8" spans="1:25" s="4" customFormat="1" ht="20.100000000000001" customHeight="1">
      <c r="A8" s="1947"/>
      <c r="B8" s="1948"/>
      <c r="C8" s="1948"/>
      <c r="D8" s="1948"/>
      <c r="E8" s="1948"/>
      <c r="F8" s="1948"/>
      <c r="G8" s="1948"/>
      <c r="H8" s="1948"/>
      <c r="I8" s="1948"/>
      <c r="J8" s="1948"/>
      <c r="K8" s="1948"/>
      <c r="L8" s="1948"/>
      <c r="M8" s="1948"/>
      <c r="N8" s="1948"/>
      <c r="O8" s="1949"/>
    </row>
    <row r="9" spans="1:25" s="4" customFormat="1" ht="20.100000000000001" customHeight="1">
      <c r="A9" s="1947"/>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8"/>
      <c r="B15" s="9"/>
      <c r="C15" s="10"/>
      <c r="D15" s="1953" t="s">
        <v>5</v>
      </c>
      <c r="E15" s="1954"/>
      <c r="F15" s="1954"/>
      <c r="G15" s="1954"/>
      <c r="H15" s="11"/>
      <c r="I15" s="12" t="s">
        <v>6</v>
      </c>
      <c r="J15" s="13"/>
      <c r="K15" s="13"/>
      <c r="L15" s="13"/>
      <c r="M15" s="13"/>
      <c r="N15" s="13"/>
      <c r="O15" s="14"/>
      <c r="P15" s="15"/>
      <c r="Q15" s="16"/>
      <c r="R15" s="17"/>
      <c r="S15" s="17"/>
      <c r="T15" s="17"/>
      <c r="U15" s="17"/>
      <c r="V15" s="17"/>
      <c r="W15" s="15"/>
      <c r="X15" s="15"/>
      <c r="Y15" s="16"/>
    </row>
    <row r="16" spans="1:25" s="56" customFormat="1" ht="144.75" customHeight="1">
      <c r="A16" s="1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1981" t="s">
        <v>194</v>
      </c>
      <c r="B17" s="1855"/>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1982"/>
      <c r="B18" s="1855"/>
      <c r="C18" s="36">
        <v>2015</v>
      </c>
      <c r="D18" s="37">
        <v>10</v>
      </c>
      <c r="E18" s="38">
        <v>2</v>
      </c>
      <c r="F18" s="38">
        <v>3</v>
      </c>
      <c r="G18" s="32">
        <f>SUM(D18:F18)</f>
        <v>15</v>
      </c>
      <c r="H18" s="39"/>
      <c r="I18" s="38">
        <v>4</v>
      </c>
      <c r="J18" s="38">
        <v>1</v>
      </c>
      <c r="K18" s="38">
        <v>4</v>
      </c>
      <c r="L18" s="38"/>
      <c r="M18" s="38"/>
      <c r="N18" s="38">
        <v>1</v>
      </c>
      <c r="O18" s="40">
        <v>5</v>
      </c>
      <c r="P18" s="35"/>
      <c r="Q18" s="35"/>
      <c r="R18" s="35"/>
      <c r="S18" s="35"/>
      <c r="T18" s="35"/>
      <c r="U18" s="35"/>
      <c r="V18" s="35"/>
      <c r="W18" s="35"/>
      <c r="X18" s="35"/>
      <c r="Y18" s="35"/>
    </row>
    <row r="19" spans="1:25">
      <c r="A19" s="1982"/>
      <c r="B19" s="1855"/>
      <c r="C19" s="36">
        <v>2016</v>
      </c>
      <c r="D19" s="37">
        <v>47</v>
      </c>
      <c r="E19" s="38">
        <v>5</v>
      </c>
      <c r="F19" s="38">
        <v>5</v>
      </c>
      <c r="G19" s="32">
        <f>SUM(D19:F19)</f>
        <v>57</v>
      </c>
      <c r="H19" s="39">
        <v>1</v>
      </c>
      <c r="I19" s="38">
        <v>8</v>
      </c>
      <c r="J19" s="38">
        <v>3</v>
      </c>
      <c r="K19" s="38">
        <v>34</v>
      </c>
      <c r="L19" s="38">
        <v>4</v>
      </c>
      <c r="M19" s="38"/>
      <c r="N19" s="38">
        <v>1</v>
      </c>
      <c r="O19" s="40">
        <v>6</v>
      </c>
      <c r="P19" s="35"/>
      <c r="Q19" s="35"/>
      <c r="R19" s="35"/>
      <c r="S19" s="35"/>
      <c r="T19" s="35"/>
      <c r="U19" s="35"/>
      <c r="V19" s="35"/>
      <c r="W19" s="35"/>
      <c r="X19" s="35"/>
      <c r="Y19" s="35"/>
    </row>
    <row r="20" spans="1:25">
      <c r="A20" s="1982"/>
      <c r="B20" s="1855"/>
      <c r="C20" s="36">
        <v>2017</v>
      </c>
      <c r="D20" s="37">
        <v>35</v>
      </c>
      <c r="E20" s="38">
        <v>2</v>
      </c>
      <c r="F20" s="38">
        <v>3</v>
      </c>
      <c r="G20" s="32">
        <f t="shared" si="0"/>
        <v>40</v>
      </c>
      <c r="H20" s="39">
        <v>1</v>
      </c>
      <c r="I20" s="38">
        <v>5</v>
      </c>
      <c r="J20" s="38">
        <v>2</v>
      </c>
      <c r="K20" s="38">
        <v>1</v>
      </c>
      <c r="L20" s="38">
        <v>2</v>
      </c>
      <c r="M20" s="38"/>
      <c r="N20" s="38"/>
      <c r="O20" s="40">
        <v>29</v>
      </c>
      <c r="P20" s="35"/>
      <c r="Q20" s="35"/>
      <c r="R20" s="35"/>
      <c r="S20" s="35"/>
      <c r="T20" s="35"/>
      <c r="U20" s="35"/>
      <c r="V20" s="35"/>
      <c r="W20" s="35"/>
      <c r="X20" s="35"/>
      <c r="Y20" s="35"/>
    </row>
    <row r="21" spans="1:25">
      <c r="A21" s="1982"/>
      <c r="B21" s="1855"/>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1982"/>
      <c r="B22" s="1855"/>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1982"/>
      <c r="B23" s="1855"/>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394.5" customHeight="1" thickBot="1">
      <c r="A24" s="1983"/>
      <c r="B24" s="1857"/>
      <c r="C24" s="42" t="s">
        <v>13</v>
      </c>
      <c r="D24" s="43">
        <f>SUM(D17:D23)</f>
        <v>92</v>
      </c>
      <c r="E24" s="44">
        <f>SUM(E17:E23)</f>
        <v>9</v>
      </c>
      <c r="F24" s="44">
        <f>SUM(F17:F23)</f>
        <v>11</v>
      </c>
      <c r="G24" s="45">
        <f>SUM(D24:F24)</f>
        <v>112</v>
      </c>
      <c r="H24" s="46">
        <f>SUM(H17:H23)</f>
        <v>2</v>
      </c>
      <c r="I24" s="47">
        <f>SUM(I17:I23)</f>
        <v>17</v>
      </c>
      <c r="J24" s="47">
        <f t="shared" ref="J24:N24" si="1">SUM(J17:J23)</f>
        <v>6</v>
      </c>
      <c r="K24" s="47">
        <f t="shared" si="1"/>
        <v>39</v>
      </c>
      <c r="L24" s="47">
        <f t="shared" si="1"/>
        <v>6</v>
      </c>
      <c r="M24" s="47">
        <f t="shared" si="1"/>
        <v>0</v>
      </c>
      <c r="N24" s="47">
        <f t="shared" si="1"/>
        <v>2</v>
      </c>
      <c r="O24" s="48">
        <f>SUM(O17:O23)</f>
        <v>40</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8"/>
      <c r="B26" s="9"/>
      <c r="C26" s="50"/>
      <c r="D26" s="1959" t="s">
        <v>5</v>
      </c>
      <c r="E26" s="1960"/>
      <c r="F26" s="1960"/>
      <c r="G26" s="1961"/>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1874" t="s">
        <v>195</v>
      </c>
      <c r="B28" s="1855"/>
      <c r="C28" s="57">
        <v>2014</v>
      </c>
      <c r="D28" s="33"/>
      <c r="E28" s="31"/>
      <c r="F28" s="31"/>
      <c r="G28" s="58">
        <f>SUM(D28:F28)</f>
        <v>0</v>
      </c>
      <c r="H28" s="35"/>
      <c r="I28" s="35"/>
      <c r="J28" s="35"/>
      <c r="K28" s="35"/>
      <c r="L28" s="35"/>
      <c r="M28" s="35"/>
      <c r="N28" s="35"/>
      <c r="O28" s="35"/>
      <c r="P28" s="35"/>
      <c r="Q28" s="7"/>
    </row>
    <row r="29" spans="1:25">
      <c r="A29" s="1854"/>
      <c r="B29" s="1855"/>
      <c r="C29" s="59">
        <v>2015</v>
      </c>
      <c r="D29" s="433">
        <f>3271+1500</f>
        <v>4771</v>
      </c>
      <c r="E29" s="89">
        <v>198</v>
      </c>
      <c r="F29" s="89">
        <v>250</v>
      </c>
      <c r="G29" s="434">
        <f>SUM(D29:F29)</f>
        <v>5219</v>
      </c>
      <c r="H29" s="35"/>
      <c r="I29" s="35"/>
      <c r="J29" s="35"/>
      <c r="K29" s="35"/>
      <c r="L29" s="35"/>
      <c r="M29" s="35"/>
      <c r="N29" s="35"/>
      <c r="O29" s="35"/>
      <c r="P29" s="35"/>
      <c r="Q29" s="7"/>
    </row>
    <row r="30" spans="1:25">
      <c r="A30" s="1854"/>
      <c r="B30" s="1855"/>
      <c r="C30" s="59">
        <v>2016</v>
      </c>
      <c r="D30" s="433">
        <v>36894</v>
      </c>
      <c r="E30" s="89">
        <v>5589</v>
      </c>
      <c r="F30" s="89">
        <v>400127</v>
      </c>
      <c r="G30" s="434">
        <f t="shared" ref="G30:G35" si="2">SUM(D30:F30)</f>
        <v>442610</v>
      </c>
      <c r="H30" s="35"/>
      <c r="I30" s="35"/>
      <c r="J30" s="35"/>
      <c r="K30" s="35"/>
      <c r="L30" s="35"/>
      <c r="M30" s="35"/>
      <c r="N30" s="35"/>
      <c r="O30" s="35"/>
      <c r="P30" s="35"/>
      <c r="Q30" s="7"/>
    </row>
    <row r="31" spans="1:25">
      <c r="A31" s="1854"/>
      <c r="B31" s="1855"/>
      <c r="C31" s="59">
        <v>2017</v>
      </c>
      <c r="D31" s="433">
        <v>35620</v>
      </c>
      <c r="E31" s="89">
        <v>32002</v>
      </c>
      <c r="F31" s="89">
        <v>49746</v>
      </c>
      <c r="G31" s="434">
        <f t="shared" si="2"/>
        <v>117368</v>
      </c>
      <c r="H31" s="35"/>
      <c r="I31" s="35"/>
      <c r="J31" s="35"/>
      <c r="K31" s="35"/>
      <c r="L31" s="35"/>
      <c r="M31" s="35"/>
      <c r="N31" s="35"/>
      <c r="O31" s="35"/>
      <c r="P31" s="35"/>
      <c r="Q31" s="7"/>
    </row>
    <row r="32" spans="1:25">
      <c r="A32" s="1854"/>
      <c r="B32" s="1855"/>
      <c r="C32" s="59">
        <v>2018</v>
      </c>
      <c r="D32" s="433"/>
      <c r="E32" s="89"/>
      <c r="F32" s="89"/>
      <c r="G32" s="434">
        <f>SUM(D32:F32)</f>
        <v>0</v>
      </c>
      <c r="H32" s="35"/>
      <c r="I32" s="35"/>
      <c r="J32" s="35"/>
      <c r="K32" s="35"/>
      <c r="L32" s="35"/>
      <c r="M32" s="35"/>
      <c r="N32" s="35"/>
      <c r="O32" s="35"/>
      <c r="P32" s="35"/>
      <c r="Q32" s="7"/>
    </row>
    <row r="33" spans="1:17">
      <c r="A33" s="1854"/>
      <c r="B33" s="1855"/>
      <c r="C33" s="60">
        <v>2019</v>
      </c>
      <c r="D33" s="433"/>
      <c r="E33" s="89"/>
      <c r="F33" s="89"/>
      <c r="G33" s="434">
        <f t="shared" si="2"/>
        <v>0</v>
      </c>
      <c r="H33" s="35"/>
      <c r="I33" s="35"/>
      <c r="J33" s="35"/>
      <c r="K33" s="35"/>
      <c r="L33" s="35"/>
      <c r="M33" s="35"/>
      <c r="N33" s="35"/>
      <c r="O33" s="35"/>
      <c r="P33" s="35"/>
      <c r="Q33" s="7"/>
    </row>
    <row r="34" spans="1:17">
      <c r="A34" s="1854"/>
      <c r="B34" s="1855"/>
      <c r="C34" s="59">
        <v>2020</v>
      </c>
      <c r="D34" s="433"/>
      <c r="E34" s="89"/>
      <c r="F34" s="89"/>
      <c r="G34" s="434">
        <f t="shared" si="2"/>
        <v>0</v>
      </c>
      <c r="H34" s="35"/>
      <c r="I34" s="35"/>
      <c r="J34" s="35"/>
      <c r="K34" s="35"/>
      <c r="L34" s="35"/>
      <c r="M34" s="35"/>
      <c r="N34" s="35"/>
      <c r="O34" s="35"/>
      <c r="P34" s="35"/>
      <c r="Q34" s="7"/>
    </row>
    <row r="35" spans="1:17" ht="52.5" customHeight="1" thickBot="1">
      <c r="A35" s="1856"/>
      <c r="B35" s="1857"/>
      <c r="C35" s="61" t="s">
        <v>13</v>
      </c>
      <c r="D35" s="435">
        <f>SUM(D28:D34)</f>
        <v>77285</v>
      </c>
      <c r="E35" s="94">
        <f>SUM(E28:E34)</f>
        <v>37789</v>
      </c>
      <c r="F35" s="94">
        <f>SUM(F28:F34)</f>
        <v>450123</v>
      </c>
      <c r="G35" s="436">
        <f t="shared" si="2"/>
        <v>565197</v>
      </c>
      <c r="H35" s="35"/>
      <c r="I35" s="35"/>
      <c r="J35" s="35"/>
      <c r="K35" s="35"/>
      <c r="L35" s="35"/>
      <c r="M35" s="35"/>
      <c r="N35" s="35"/>
      <c r="O35" s="35"/>
      <c r="P35" s="35"/>
      <c r="Q35" s="7"/>
    </row>
    <row r="36" spans="1:17" ht="81" customHeight="1">
      <c r="A36" s="62"/>
      <c r="B36" s="62"/>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66" t="s">
        <v>26</v>
      </c>
      <c r="B39" s="372" t="s">
        <v>171</v>
      </c>
      <c r="C39" s="68" t="s">
        <v>9</v>
      </c>
      <c r="D39" s="69" t="s">
        <v>28</v>
      </c>
      <c r="E39" s="70" t="s">
        <v>29</v>
      </c>
      <c r="F39" s="71"/>
      <c r="G39" s="28"/>
      <c r="H39" s="28"/>
    </row>
    <row r="40" spans="1:17">
      <c r="A40" s="1874" t="s">
        <v>196</v>
      </c>
      <c r="B40" s="1855"/>
      <c r="C40" s="72">
        <v>2014</v>
      </c>
      <c r="D40" s="30"/>
      <c r="E40" s="29"/>
      <c r="F40" s="7"/>
      <c r="G40" s="35"/>
      <c r="H40" s="35"/>
    </row>
    <row r="41" spans="1:17">
      <c r="A41" s="1854"/>
      <c r="B41" s="1855"/>
      <c r="C41" s="73">
        <v>2015</v>
      </c>
      <c r="D41" s="74">
        <v>9107</v>
      </c>
      <c r="E41" s="75">
        <v>1992</v>
      </c>
      <c r="F41" s="7"/>
      <c r="G41" s="35"/>
      <c r="H41" s="35"/>
    </row>
    <row r="42" spans="1:17">
      <c r="A42" s="1854"/>
      <c r="B42" s="1855"/>
      <c r="C42" s="73">
        <v>2016</v>
      </c>
      <c r="D42" s="74">
        <v>344243</v>
      </c>
      <c r="E42" s="75">
        <v>33907</v>
      </c>
      <c r="F42" s="7"/>
      <c r="G42" s="35"/>
      <c r="H42" s="35"/>
    </row>
    <row r="43" spans="1:17">
      <c r="A43" s="1854"/>
      <c r="B43" s="1855"/>
      <c r="C43" s="73">
        <v>2017</v>
      </c>
      <c r="D43" s="74">
        <v>70394</v>
      </c>
      <c r="E43" s="75">
        <v>51628</v>
      </c>
      <c r="F43" s="7"/>
      <c r="G43" s="35"/>
      <c r="H43" s="35"/>
    </row>
    <row r="44" spans="1:17">
      <c r="A44" s="1854"/>
      <c r="B44" s="1855"/>
      <c r="C44" s="73">
        <v>2018</v>
      </c>
      <c r="D44" s="74"/>
      <c r="E44" s="75"/>
      <c r="F44" s="7"/>
      <c r="G44" s="35"/>
      <c r="H44" s="35"/>
    </row>
    <row r="45" spans="1:17">
      <c r="A45" s="1854"/>
      <c r="B45" s="1855"/>
      <c r="C45" s="73">
        <v>2019</v>
      </c>
      <c r="D45" s="74"/>
      <c r="E45" s="75"/>
      <c r="F45" s="7"/>
      <c r="G45" s="35"/>
      <c r="H45" s="35"/>
    </row>
    <row r="46" spans="1:17">
      <c r="A46" s="1854"/>
      <c r="B46" s="1855"/>
      <c r="C46" s="73">
        <v>2020</v>
      </c>
      <c r="D46" s="74"/>
      <c r="E46" s="75"/>
      <c r="F46" s="7"/>
      <c r="G46" s="35"/>
      <c r="H46" s="35"/>
    </row>
    <row r="47" spans="1:17" ht="30" customHeight="1" thickBot="1">
      <c r="A47" s="1856"/>
      <c r="B47" s="1857"/>
      <c r="C47" s="42" t="s">
        <v>13</v>
      </c>
      <c r="D47" s="76">
        <f>SUM(D40:D46)</f>
        <v>423744</v>
      </c>
      <c r="E47" s="77">
        <f>SUM(E40:E46)</f>
        <v>87527</v>
      </c>
      <c r="F47" s="78"/>
      <c r="G47" s="35"/>
      <c r="H47" s="35"/>
    </row>
    <row r="48" spans="1:17" s="35" customFormat="1" ht="15.75" thickBot="1">
      <c r="A48" s="437"/>
      <c r="B48" s="80"/>
      <c r="C48" s="81"/>
    </row>
    <row r="49" spans="1:15" ht="83.25" customHeight="1">
      <c r="A49" s="82" t="s">
        <v>32</v>
      </c>
      <c r="B49" s="372" t="s">
        <v>171</v>
      </c>
      <c r="C49" s="84" t="s">
        <v>9</v>
      </c>
      <c r="D49" s="69" t="s">
        <v>34</v>
      </c>
      <c r="E49" s="85" t="s">
        <v>35</v>
      </c>
      <c r="F49" s="85" t="s">
        <v>36</v>
      </c>
      <c r="G49" s="85" t="s">
        <v>37</v>
      </c>
      <c r="H49" s="85" t="s">
        <v>38</v>
      </c>
      <c r="I49" s="85" t="s">
        <v>39</v>
      </c>
      <c r="J49" s="85" t="s">
        <v>40</v>
      </c>
      <c r="K49" s="86" t="s">
        <v>41</v>
      </c>
    </row>
    <row r="50" spans="1:15" ht="17.25" customHeight="1">
      <c r="A50" s="1872"/>
      <c r="B50" s="1879"/>
      <c r="C50" s="87" t="s">
        <v>43</v>
      </c>
      <c r="D50" s="30"/>
      <c r="E50" s="31"/>
      <c r="F50" s="31"/>
      <c r="G50" s="31"/>
      <c r="H50" s="31"/>
      <c r="I50" s="31"/>
      <c r="J50" s="31"/>
      <c r="K50" s="34"/>
    </row>
    <row r="51" spans="1:15" ht="15" customHeight="1">
      <c r="A51" s="1874"/>
      <c r="B51" s="1881"/>
      <c r="C51" s="73">
        <v>2014</v>
      </c>
      <c r="D51" s="37"/>
      <c r="E51" s="38"/>
      <c r="F51" s="38"/>
      <c r="G51" s="38"/>
      <c r="H51" s="38"/>
      <c r="I51" s="38"/>
      <c r="J51" s="38"/>
      <c r="K51" s="88"/>
    </row>
    <row r="52" spans="1:15">
      <c r="A52" s="1874"/>
      <c r="B52" s="1881"/>
      <c r="C52" s="73">
        <v>2015</v>
      </c>
      <c r="D52" s="37"/>
      <c r="E52" s="38"/>
      <c r="F52" s="38"/>
      <c r="G52" s="38"/>
      <c r="H52" s="38"/>
      <c r="I52" s="38"/>
      <c r="J52" s="38"/>
      <c r="K52" s="88"/>
    </row>
    <row r="53" spans="1:15">
      <c r="A53" s="1874"/>
      <c r="B53" s="1881"/>
      <c r="C53" s="73">
        <v>2016</v>
      </c>
      <c r="D53" s="37">
        <v>1</v>
      </c>
      <c r="E53" s="38"/>
      <c r="F53" s="38"/>
      <c r="G53" s="89">
        <v>10500</v>
      </c>
      <c r="H53" s="89"/>
      <c r="I53" s="89"/>
      <c r="J53" s="89">
        <v>748</v>
      </c>
      <c r="K53" s="438">
        <v>72408</v>
      </c>
    </row>
    <row r="54" spans="1:15">
      <c r="A54" s="1874"/>
      <c r="B54" s="1881"/>
      <c r="C54" s="73">
        <v>2017</v>
      </c>
      <c r="D54" s="37">
        <v>1</v>
      </c>
      <c r="E54" s="38"/>
      <c r="F54" s="38"/>
      <c r="G54" s="89">
        <v>11748</v>
      </c>
      <c r="H54" s="89"/>
      <c r="I54" s="89"/>
      <c r="J54" s="89">
        <v>1010</v>
      </c>
      <c r="K54" s="438">
        <v>5286</v>
      </c>
    </row>
    <row r="55" spans="1:15">
      <c r="A55" s="1874"/>
      <c r="B55" s="1881"/>
      <c r="C55" s="73">
        <v>2018</v>
      </c>
      <c r="D55" s="37"/>
      <c r="E55" s="38"/>
      <c r="F55" s="38"/>
      <c r="G55" s="38"/>
      <c r="H55" s="38"/>
      <c r="I55" s="38"/>
      <c r="J55" s="38"/>
      <c r="K55" s="88"/>
    </row>
    <row r="56" spans="1:15">
      <c r="A56" s="1874"/>
      <c r="B56" s="1881"/>
      <c r="C56" s="73">
        <v>2019</v>
      </c>
      <c r="D56" s="37"/>
      <c r="E56" s="38"/>
      <c r="F56" s="38"/>
      <c r="G56" s="38"/>
      <c r="H56" s="38"/>
      <c r="I56" s="38"/>
      <c r="J56" s="38"/>
      <c r="K56" s="88"/>
    </row>
    <row r="57" spans="1:15">
      <c r="A57" s="1874"/>
      <c r="B57" s="1881"/>
      <c r="C57" s="73">
        <v>2020</v>
      </c>
      <c r="D57" s="37"/>
      <c r="E57" s="38"/>
      <c r="F57" s="38"/>
      <c r="G57" s="38"/>
      <c r="H57" s="38"/>
      <c r="I57" s="38"/>
      <c r="J57" s="38"/>
      <c r="K57" s="93"/>
    </row>
    <row r="58" spans="1:15" ht="20.25" customHeight="1" thickBot="1">
      <c r="A58" s="1876"/>
      <c r="B58" s="1883"/>
      <c r="C58" s="42" t="s">
        <v>13</v>
      </c>
      <c r="D58" s="43">
        <f>SUM(D51:D57)</f>
        <v>2</v>
      </c>
      <c r="E58" s="44">
        <f>SUM(E51:E57)</f>
        <v>0</v>
      </c>
      <c r="F58" s="44">
        <f>SUM(F51:F57)</f>
        <v>0</v>
      </c>
      <c r="G58" s="44">
        <f>SUM(G51:G57)</f>
        <v>22248</v>
      </c>
      <c r="H58" s="44">
        <f>SUM(H51:H57)</f>
        <v>0</v>
      </c>
      <c r="I58" s="44">
        <f t="shared" ref="I58" si="3">SUM(I51:I57)</f>
        <v>0</v>
      </c>
      <c r="J58" s="44">
        <f>SUM(J51:J57)</f>
        <v>1758</v>
      </c>
      <c r="K58" s="48">
        <f>SUM(K50:K56)</f>
        <v>77694</v>
      </c>
    </row>
    <row r="59" spans="1:15" ht="15.75" thickBot="1"/>
    <row r="60" spans="1:15" ht="21" customHeight="1">
      <c r="A60" s="1969" t="s">
        <v>44</v>
      </c>
      <c r="B60" s="95"/>
      <c r="C60" s="1971" t="s">
        <v>9</v>
      </c>
      <c r="D60" s="1941" t="s">
        <v>45</v>
      </c>
      <c r="E60" s="96" t="s">
        <v>6</v>
      </c>
      <c r="F60" s="97"/>
      <c r="G60" s="97"/>
      <c r="H60" s="97"/>
      <c r="I60" s="97"/>
      <c r="J60" s="97"/>
      <c r="K60" s="97"/>
      <c r="L60" s="98"/>
    </row>
    <row r="61" spans="1:15" ht="149.25" customHeight="1">
      <c r="A61" s="1970"/>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1898"/>
      <c r="B62" s="1899"/>
      <c r="C62" s="106">
        <v>2014</v>
      </c>
      <c r="D62" s="107"/>
      <c r="E62" s="108"/>
      <c r="F62" s="109"/>
      <c r="G62" s="109"/>
      <c r="H62" s="109"/>
      <c r="I62" s="109"/>
      <c r="J62" s="109"/>
      <c r="K62" s="109"/>
      <c r="L62" s="34"/>
      <c r="M62" s="7"/>
      <c r="N62" s="7"/>
      <c r="O62" s="7"/>
    </row>
    <row r="63" spans="1:15">
      <c r="A63" s="1891"/>
      <c r="B63" s="1899"/>
      <c r="C63" s="110">
        <v>2015</v>
      </c>
      <c r="D63" s="111"/>
      <c r="E63" s="112"/>
      <c r="F63" s="38"/>
      <c r="G63" s="38"/>
      <c r="H63" s="38"/>
      <c r="I63" s="38"/>
      <c r="J63" s="38"/>
      <c r="K63" s="38"/>
      <c r="L63" s="88"/>
      <c r="M63" s="7"/>
      <c r="N63" s="7"/>
      <c r="O63" s="7"/>
    </row>
    <row r="64" spans="1:15">
      <c r="A64" s="1891"/>
      <c r="B64" s="1899"/>
      <c r="C64" s="110">
        <v>2016</v>
      </c>
      <c r="D64" s="111">
        <v>8</v>
      </c>
      <c r="E64" s="112"/>
      <c r="F64" s="38">
        <v>3</v>
      </c>
      <c r="G64" s="38">
        <f>3</f>
        <v>3</v>
      </c>
      <c r="H64" s="38"/>
      <c r="I64" s="38"/>
      <c r="J64" s="38"/>
      <c r="K64" s="38">
        <v>1</v>
      </c>
      <c r="L64" s="88">
        <v>1</v>
      </c>
      <c r="M64" s="7"/>
      <c r="N64" s="7"/>
      <c r="O64" s="7"/>
    </row>
    <row r="65" spans="1:20">
      <c r="A65" s="1891"/>
      <c r="B65" s="1899"/>
      <c r="C65" s="110">
        <v>2017</v>
      </c>
      <c r="D65" s="111">
        <v>3</v>
      </c>
      <c r="E65" s="112">
        <v>1</v>
      </c>
      <c r="F65" s="38"/>
      <c r="G65" s="38">
        <v>1</v>
      </c>
      <c r="H65" s="38"/>
      <c r="I65" s="38"/>
      <c r="J65" s="38"/>
      <c r="K65" s="38"/>
      <c r="L65" s="88">
        <v>1</v>
      </c>
      <c r="M65" s="7"/>
      <c r="N65" s="7"/>
      <c r="O65" s="7"/>
    </row>
    <row r="66" spans="1:20">
      <c r="A66" s="1891"/>
      <c r="B66" s="1899"/>
      <c r="C66" s="110">
        <v>2018</v>
      </c>
      <c r="D66" s="111"/>
      <c r="E66" s="112"/>
      <c r="F66" s="38"/>
      <c r="G66" s="38"/>
      <c r="H66" s="38"/>
      <c r="I66" s="38"/>
      <c r="J66" s="38"/>
      <c r="K66" s="38"/>
      <c r="L66" s="88"/>
      <c r="M66" s="7"/>
      <c r="N66" s="7"/>
      <c r="O66" s="7"/>
    </row>
    <row r="67" spans="1:20" ht="17.25" customHeight="1">
      <c r="A67" s="1891"/>
      <c r="B67" s="1899"/>
      <c r="C67" s="110">
        <v>2019</v>
      </c>
      <c r="D67" s="111"/>
      <c r="E67" s="112"/>
      <c r="F67" s="38"/>
      <c r="G67" s="38"/>
      <c r="H67" s="38"/>
      <c r="I67" s="38"/>
      <c r="J67" s="38"/>
      <c r="K67" s="38"/>
      <c r="L67" s="88"/>
      <c r="M67" s="7"/>
      <c r="N67" s="7"/>
      <c r="O67" s="7"/>
    </row>
    <row r="68" spans="1:20" ht="16.5" customHeight="1">
      <c r="A68" s="1891"/>
      <c r="B68" s="1899"/>
      <c r="C68" s="110">
        <v>2020</v>
      </c>
      <c r="D68" s="111"/>
      <c r="E68" s="112"/>
      <c r="F68" s="38"/>
      <c r="G68" s="38"/>
      <c r="H68" s="38"/>
      <c r="I68" s="38"/>
      <c r="J68" s="38"/>
      <c r="K68" s="38"/>
      <c r="L68" s="88"/>
      <c r="M68" s="78"/>
      <c r="N68" s="78"/>
      <c r="O68" s="78"/>
    </row>
    <row r="69" spans="1:20" ht="18" customHeight="1" thickBot="1">
      <c r="A69" s="1980"/>
      <c r="B69" s="1900"/>
      <c r="C69" s="113" t="s">
        <v>13</v>
      </c>
      <c r="D69" s="114">
        <f>SUM(D62:D68)</f>
        <v>11</v>
      </c>
      <c r="E69" s="115">
        <f>SUM(E62:E68)</f>
        <v>1</v>
      </c>
      <c r="F69" s="116">
        <f t="shared" ref="F69:I69" si="4">SUM(F62:F68)</f>
        <v>3</v>
      </c>
      <c r="G69" s="116">
        <f t="shared" si="4"/>
        <v>4</v>
      </c>
      <c r="H69" s="116">
        <f t="shared" si="4"/>
        <v>0</v>
      </c>
      <c r="I69" s="116">
        <f t="shared" si="4"/>
        <v>0</v>
      </c>
      <c r="J69" s="116"/>
      <c r="K69" s="116">
        <f>SUM(K62:K68)</f>
        <v>1</v>
      </c>
      <c r="L69" s="117">
        <f>SUM(L62:L68)</f>
        <v>2</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66" t="s">
        <v>47</v>
      </c>
      <c r="B71" s="372"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197</v>
      </c>
    </row>
    <row r="72" spans="1:20" ht="15" customHeight="1">
      <c r="A72" s="1874" t="s">
        <v>198</v>
      </c>
      <c r="B72" s="1899"/>
      <c r="C72" s="72">
        <v>2014</v>
      </c>
      <c r="D72" s="131"/>
      <c r="E72" s="131"/>
      <c r="F72" s="131"/>
      <c r="G72" s="132">
        <f>SUM(D72:F72)</f>
        <v>0</v>
      </c>
      <c r="H72" s="30"/>
      <c r="I72" s="133"/>
      <c r="J72" s="109"/>
      <c r="K72" s="109"/>
      <c r="L72" s="109"/>
      <c r="M72" s="109"/>
      <c r="N72" s="109"/>
      <c r="O72" s="134"/>
    </row>
    <row r="73" spans="1:20">
      <c r="A73" s="1854"/>
      <c r="B73" s="1899"/>
      <c r="C73" s="73">
        <v>2015</v>
      </c>
      <c r="D73" s="135">
        <v>4</v>
      </c>
      <c r="E73" s="135">
        <v>1</v>
      </c>
      <c r="F73" s="135"/>
      <c r="G73" s="132">
        <v>5</v>
      </c>
      <c r="H73" s="37"/>
      <c r="I73" s="37">
        <v>4</v>
      </c>
      <c r="J73" s="38"/>
      <c r="K73" s="38">
        <v>1</v>
      </c>
      <c r="L73" s="38"/>
      <c r="M73" s="38"/>
      <c r="N73" s="38"/>
      <c r="O73" s="88"/>
    </row>
    <row r="74" spans="1:20">
      <c r="A74" s="1854"/>
      <c r="B74" s="1899"/>
      <c r="C74" s="73">
        <v>2016</v>
      </c>
      <c r="D74" s="135">
        <v>10</v>
      </c>
      <c r="E74" s="439">
        <v>4</v>
      </c>
      <c r="F74" s="135"/>
      <c r="G74" s="132">
        <f t="shared" ref="G74:G78" si="5">SUM(D74:F74)</f>
        <v>14</v>
      </c>
      <c r="H74" s="37"/>
      <c r="I74" s="37">
        <v>1</v>
      </c>
      <c r="J74" s="38"/>
      <c r="K74" s="38"/>
      <c r="L74" s="38">
        <v>1</v>
      </c>
      <c r="M74" s="38"/>
      <c r="N74" s="38"/>
      <c r="O74" s="88">
        <v>12</v>
      </c>
    </row>
    <row r="75" spans="1:20">
      <c r="A75" s="1854"/>
      <c r="B75" s="1899"/>
      <c r="C75" s="73">
        <v>2017</v>
      </c>
      <c r="D75" s="135">
        <v>5</v>
      </c>
      <c r="E75" s="135">
        <v>2</v>
      </c>
      <c r="F75" s="135"/>
      <c r="G75" s="132">
        <f t="shared" si="5"/>
        <v>7</v>
      </c>
      <c r="H75" s="37">
        <v>1</v>
      </c>
      <c r="I75" s="37"/>
      <c r="J75" s="38"/>
      <c r="K75" s="38">
        <v>1</v>
      </c>
      <c r="L75" s="38"/>
      <c r="M75" s="38"/>
      <c r="N75" s="38"/>
      <c r="O75" s="88">
        <v>5</v>
      </c>
    </row>
    <row r="76" spans="1:20">
      <c r="A76" s="1854"/>
      <c r="B76" s="1899"/>
      <c r="C76" s="73">
        <v>2018</v>
      </c>
      <c r="D76" s="135"/>
      <c r="E76" s="135"/>
      <c r="F76" s="135"/>
      <c r="G76" s="132">
        <f t="shared" si="5"/>
        <v>0</v>
      </c>
      <c r="H76" s="37"/>
      <c r="I76" s="37"/>
      <c r="J76" s="38"/>
      <c r="K76" s="38"/>
      <c r="L76" s="38"/>
      <c r="M76" s="38"/>
      <c r="N76" s="38"/>
      <c r="O76" s="88"/>
    </row>
    <row r="77" spans="1:20" ht="15.75" customHeight="1">
      <c r="A77" s="1854"/>
      <c r="B77" s="1899"/>
      <c r="C77" s="73">
        <v>2019</v>
      </c>
      <c r="D77" s="135"/>
      <c r="E77" s="135"/>
      <c r="F77" s="135"/>
      <c r="G77" s="132">
        <f t="shared" si="5"/>
        <v>0</v>
      </c>
      <c r="H77" s="37"/>
      <c r="I77" s="37"/>
      <c r="J77" s="38"/>
      <c r="K77" s="38"/>
      <c r="L77" s="38"/>
      <c r="M77" s="38"/>
      <c r="N77" s="38"/>
      <c r="O77" s="88"/>
    </row>
    <row r="78" spans="1:20" ht="17.25" customHeight="1">
      <c r="A78" s="1854"/>
      <c r="B78" s="1899"/>
      <c r="C78" s="73">
        <v>2020</v>
      </c>
      <c r="D78" s="135"/>
      <c r="E78" s="135"/>
      <c r="F78" s="135"/>
      <c r="G78" s="132">
        <f t="shared" si="5"/>
        <v>0</v>
      </c>
      <c r="H78" s="37"/>
      <c r="I78" s="37"/>
      <c r="J78" s="38"/>
      <c r="K78" s="38"/>
      <c r="L78" s="38"/>
      <c r="M78" s="38"/>
      <c r="N78" s="38"/>
      <c r="O78" s="88"/>
    </row>
    <row r="79" spans="1:20" ht="20.25" customHeight="1" thickBot="1">
      <c r="A79" s="1980"/>
      <c r="B79" s="1900"/>
      <c r="C79" s="136" t="s">
        <v>13</v>
      </c>
      <c r="D79" s="114">
        <f>SUM(D72:D78)</f>
        <v>19</v>
      </c>
      <c r="E79" s="114">
        <f>SUM(E72:E78)</f>
        <v>7</v>
      </c>
      <c r="F79" s="114">
        <f>SUM(F72:F78)</f>
        <v>0</v>
      </c>
      <c r="G79" s="137">
        <f>SUM(G72:G78)</f>
        <v>26</v>
      </c>
      <c r="H79" s="138">
        <v>0</v>
      </c>
      <c r="I79" s="139">
        <f t="shared" ref="I79:O79" si="6">SUM(I72:I78)</f>
        <v>5</v>
      </c>
      <c r="J79" s="116">
        <f t="shared" si="6"/>
        <v>0</v>
      </c>
      <c r="K79" s="116">
        <f t="shared" si="6"/>
        <v>2</v>
      </c>
      <c r="L79" s="116">
        <f t="shared" si="6"/>
        <v>1</v>
      </c>
      <c r="M79" s="116">
        <f t="shared" si="6"/>
        <v>0</v>
      </c>
      <c r="N79" s="116">
        <f t="shared" si="6"/>
        <v>0</v>
      </c>
      <c r="O79" s="117">
        <f t="shared" si="6"/>
        <v>17</v>
      </c>
    </row>
    <row r="81" spans="1:16" ht="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50" customHeight="1">
      <c r="A84" s="147" t="s">
        <v>56</v>
      </c>
      <c r="B84" s="394" t="s">
        <v>178</v>
      </c>
      <c r="C84" s="149" t="s">
        <v>9</v>
      </c>
      <c r="D84" s="150" t="s">
        <v>58</v>
      </c>
      <c r="E84" s="151" t="s">
        <v>59</v>
      </c>
      <c r="F84" s="152" t="s">
        <v>60</v>
      </c>
      <c r="G84" s="152" t="s">
        <v>61</v>
      </c>
      <c r="H84" s="152" t="s">
        <v>62</v>
      </c>
      <c r="I84" s="152" t="s">
        <v>63</v>
      </c>
      <c r="J84" s="152" t="s">
        <v>64</v>
      </c>
      <c r="K84" s="153" t="s">
        <v>65</v>
      </c>
    </row>
    <row r="85" spans="1:16" ht="15" customHeight="1">
      <c r="A85" s="1938"/>
      <c r="B85" s="1899"/>
      <c r="C85" s="72">
        <v>2014</v>
      </c>
      <c r="D85" s="154"/>
      <c r="E85" s="155"/>
      <c r="F85" s="31"/>
      <c r="G85" s="31"/>
      <c r="H85" s="31"/>
      <c r="I85" s="31"/>
      <c r="J85" s="31"/>
      <c r="K85" s="34"/>
    </row>
    <row r="86" spans="1:16">
      <c r="A86" s="1939"/>
      <c r="B86" s="1899"/>
      <c r="C86" s="73">
        <v>2015</v>
      </c>
      <c r="D86" s="156"/>
      <c r="E86" s="112"/>
      <c r="F86" s="38"/>
      <c r="G86" s="38"/>
      <c r="H86" s="38"/>
      <c r="I86" s="38"/>
      <c r="J86" s="38"/>
      <c r="K86" s="88"/>
    </row>
    <row r="87" spans="1:16">
      <c r="A87" s="1939"/>
      <c r="B87" s="1899"/>
      <c r="C87" s="73">
        <v>2016</v>
      </c>
      <c r="D87" s="156">
        <v>2</v>
      </c>
      <c r="E87" s="112"/>
      <c r="F87" s="38">
        <v>1</v>
      </c>
      <c r="H87" s="38">
        <v>1</v>
      </c>
      <c r="I87" s="38"/>
      <c r="J87" s="38"/>
      <c r="K87" s="88"/>
    </row>
    <row r="88" spans="1:16">
      <c r="A88" s="1939"/>
      <c r="B88" s="1899"/>
      <c r="C88" s="73">
        <v>2017</v>
      </c>
      <c r="D88" s="156">
        <v>6</v>
      </c>
      <c r="E88" s="112">
        <v>1</v>
      </c>
      <c r="F88" s="38">
        <v>1</v>
      </c>
      <c r="G88" s="38"/>
      <c r="H88" s="38">
        <v>1</v>
      </c>
      <c r="I88" s="38">
        <v>2</v>
      </c>
      <c r="J88" s="38"/>
      <c r="K88" s="88">
        <v>1</v>
      </c>
    </row>
    <row r="89" spans="1:16">
      <c r="A89" s="1939"/>
      <c r="B89" s="1899"/>
      <c r="C89" s="73">
        <v>2018</v>
      </c>
      <c r="D89" s="156"/>
      <c r="E89" s="112"/>
      <c r="F89" s="38"/>
      <c r="G89" s="38"/>
      <c r="H89" s="38"/>
      <c r="I89" s="38"/>
      <c r="J89" s="38"/>
      <c r="K89" s="88"/>
    </row>
    <row r="90" spans="1:16">
      <c r="A90" s="1939"/>
      <c r="B90" s="1899"/>
      <c r="C90" s="73">
        <v>2019</v>
      </c>
      <c r="D90" s="156"/>
      <c r="E90" s="112"/>
      <c r="F90" s="38"/>
      <c r="G90" s="38"/>
      <c r="H90" s="38"/>
      <c r="I90" s="38"/>
      <c r="J90" s="38"/>
      <c r="K90" s="88"/>
    </row>
    <row r="91" spans="1:16">
      <c r="A91" s="1939"/>
      <c r="B91" s="1899"/>
      <c r="C91" s="73">
        <v>2020</v>
      </c>
      <c r="D91" s="156"/>
      <c r="E91" s="112"/>
      <c r="F91" s="38"/>
      <c r="G91" s="38"/>
      <c r="H91" s="38"/>
      <c r="I91" s="38"/>
      <c r="J91" s="38"/>
      <c r="K91" s="88"/>
    </row>
    <row r="92" spans="1:16" ht="18" customHeight="1" thickBot="1">
      <c r="A92" s="1940"/>
      <c r="B92" s="1900"/>
      <c r="C92" s="136" t="s">
        <v>13</v>
      </c>
      <c r="D92" s="157">
        <f t="shared" ref="D92:I92" si="7">SUM(D85:D91)</f>
        <v>8</v>
      </c>
      <c r="E92" s="115">
        <f t="shared" si="7"/>
        <v>1</v>
      </c>
      <c r="F92" s="116">
        <f t="shared" si="7"/>
        <v>2</v>
      </c>
      <c r="G92" s="116">
        <f t="shared" si="7"/>
        <v>0</v>
      </c>
      <c r="H92" s="116">
        <f t="shared" si="7"/>
        <v>2</v>
      </c>
      <c r="I92" s="116">
        <f t="shared" si="7"/>
        <v>2</v>
      </c>
      <c r="J92" s="116">
        <f>SUM(J85:J91)</f>
        <v>0</v>
      </c>
      <c r="K92" s="117">
        <f>SUM(K85:K91)</f>
        <v>1</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1909" t="s">
        <v>68</v>
      </c>
      <c r="B96" s="1911" t="s">
        <v>179</v>
      </c>
      <c r="C96" s="1924" t="s">
        <v>9</v>
      </c>
      <c r="D96" s="1916" t="s">
        <v>70</v>
      </c>
      <c r="E96" s="1917"/>
      <c r="F96" s="162" t="s">
        <v>71</v>
      </c>
      <c r="G96" s="163"/>
      <c r="H96" s="163"/>
      <c r="I96" s="163"/>
      <c r="J96" s="163"/>
      <c r="K96" s="163"/>
      <c r="L96" s="163"/>
      <c r="M96" s="164"/>
      <c r="N96" s="165"/>
      <c r="O96" s="165"/>
      <c r="P96" s="165"/>
    </row>
    <row r="97" spans="1:16" ht="100.5" customHeight="1">
      <c r="A97" s="1910"/>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1898" t="s">
        <v>199</v>
      </c>
      <c r="B98" s="1899"/>
      <c r="C98" s="106">
        <v>2014</v>
      </c>
      <c r="D98" s="30"/>
      <c r="E98" s="31"/>
      <c r="F98" s="174"/>
      <c r="G98" s="175"/>
      <c r="H98" s="175"/>
      <c r="I98" s="175"/>
      <c r="J98" s="175"/>
      <c r="K98" s="175"/>
      <c r="L98" s="175"/>
      <c r="M98" s="176"/>
      <c r="N98" s="165"/>
      <c r="O98" s="165"/>
      <c r="P98" s="165"/>
    </row>
    <row r="99" spans="1:16" ht="16.5" customHeight="1">
      <c r="A99" s="1891"/>
      <c r="B99" s="1899"/>
      <c r="C99" s="110">
        <v>2015</v>
      </c>
      <c r="D99" s="37">
        <v>1</v>
      </c>
      <c r="E99" s="38">
        <v>3</v>
      </c>
      <c r="F99" s="177"/>
      <c r="G99" s="178"/>
      <c r="H99" s="178"/>
      <c r="I99" s="178"/>
      <c r="J99" s="178"/>
      <c r="K99" s="178"/>
      <c r="L99" s="178"/>
      <c r="M99" s="179">
        <v>1</v>
      </c>
      <c r="N99" s="165"/>
      <c r="O99" s="165"/>
      <c r="P99" s="165"/>
    </row>
    <row r="100" spans="1:16" ht="16.5" customHeight="1">
      <c r="A100" s="1891"/>
      <c r="B100" s="1899"/>
      <c r="C100" s="110">
        <v>2016</v>
      </c>
      <c r="D100" s="37">
        <v>1</v>
      </c>
      <c r="E100" s="38">
        <v>7</v>
      </c>
      <c r="F100" s="177"/>
      <c r="G100" s="178"/>
      <c r="H100" s="178"/>
      <c r="I100" s="178"/>
      <c r="J100" s="178"/>
      <c r="K100" s="178"/>
      <c r="L100" s="178"/>
      <c r="M100" s="179">
        <v>1</v>
      </c>
      <c r="N100" s="165"/>
      <c r="O100" s="165"/>
      <c r="P100" s="165"/>
    </row>
    <row r="101" spans="1:16" ht="16.5" customHeight="1">
      <c r="A101" s="1891"/>
      <c r="B101" s="1899"/>
      <c r="C101" s="110">
        <v>2017</v>
      </c>
      <c r="D101" s="37">
        <v>1</v>
      </c>
      <c r="E101" s="38">
        <v>5</v>
      </c>
      <c r="F101" s="177"/>
      <c r="G101" s="178"/>
      <c r="H101" s="178"/>
      <c r="I101" s="178"/>
      <c r="J101" s="178"/>
      <c r="K101" s="178"/>
      <c r="L101" s="178"/>
      <c r="M101" s="179">
        <v>1</v>
      </c>
      <c r="N101" s="165"/>
      <c r="O101" s="165"/>
      <c r="P101" s="165"/>
    </row>
    <row r="102" spans="1:16" ht="15.75" customHeight="1">
      <c r="A102" s="1891"/>
      <c r="B102" s="1899"/>
      <c r="C102" s="110">
        <v>2018</v>
      </c>
      <c r="D102" s="37"/>
      <c r="E102" s="38"/>
      <c r="F102" s="177"/>
      <c r="G102" s="178"/>
      <c r="H102" s="178"/>
      <c r="I102" s="178"/>
      <c r="J102" s="178"/>
      <c r="K102" s="178"/>
      <c r="L102" s="178"/>
      <c r="M102" s="179"/>
      <c r="N102" s="165"/>
      <c r="O102" s="165"/>
      <c r="P102" s="165"/>
    </row>
    <row r="103" spans="1:16" ht="14.25" customHeight="1">
      <c r="A103" s="1891"/>
      <c r="B103" s="1899"/>
      <c r="C103" s="110">
        <v>2019</v>
      </c>
      <c r="D103" s="37"/>
      <c r="E103" s="38"/>
      <c r="F103" s="177"/>
      <c r="G103" s="178"/>
      <c r="H103" s="178"/>
      <c r="I103" s="178"/>
      <c r="J103" s="178"/>
      <c r="K103" s="178"/>
      <c r="L103" s="178"/>
      <c r="M103" s="179"/>
      <c r="N103" s="165"/>
      <c r="O103" s="165"/>
      <c r="P103" s="165"/>
    </row>
    <row r="104" spans="1:16" ht="14.25" customHeight="1">
      <c r="A104" s="1891"/>
      <c r="B104" s="1899"/>
      <c r="C104" s="110">
        <v>2020</v>
      </c>
      <c r="D104" s="37"/>
      <c r="E104" s="38"/>
      <c r="F104" s="177"/>
      <c r="G104" s="178"/>
      <c r="H104" s="178"/>
      <c r="I104" s="178"/>
      <c r="J104" s="178"/>
      <c r="K104" s="178"/>
      <c r="L104" s="178"/>
      <c r="M104" s="179"/>
      <c r="N104" s="165"/>
      <c r="O104" s="165"/>
      <c r="P104" s="165"/>
    </row>
    <row r="105" spans="1:16" ht="19.5" customHeight="1" thickBot="1">
      <c r="A105" s="1915"/>
      <c r="B105" s="1900"/>
      <c r="C105" s="113" t="s">
        <v>13</v>
      </c>
      <c r="D105" s="139">
        <f>SUM(D98:D104)</f>
        <v>3</v>
      </c>
      <c r="E105" s="116">
        <f t="shared" ref="E105:K105" si="8">SUM(E98:E104)</f>
        <v>15</v>
      </c>
      <c r="F105" s="180">
        <f t="shared" si="8"/>
        <v>0</v>
      </c>
      <c r="G105" s="181">
        <f t="shared" si="8"/>
        <v>0</v>
      </c>
      <c r="H105" s="181">
        <f t="shared" si="8"/>
        <v>0</v>
      </c>
      <c r="I105" s="181">
        <f>SUM(I98:I104)</f>
        <v>0</v>
      </c>
      <c r="J105" s="181">
        <f t="shared" si="8"/>
        <v>0</v>
      </c>
      <c r="K105" s="181">
        <f t="shared" si="8"/>
        <v>0</v>
      </c>
      <c r="L105" s="181">
        <f>SUM(L98:L104)</f>
        <v>0</v>
      </c>
      <c r="M105" s="182">
        <f>SUM(M98:M104)</f>
        <v>3</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1909" t="s">
        <v>77</v>
      </c>
      <c r="B107" s="1911" t="s">
        <v>179</v>
      </c>
      <c r="C107" s="1924" t="s">
        <v>9</v>
      </c>
      <c r="D107" s="1926" t="s">
        <v>78</v>
      </c>
      <c r="E107" s="162" t="s">
        <v>79</v>
      </c>
      <c r="F107" s="163"/>
      <c r="G107" s="163"/>
      <c r="H107" s="163"/>
      <c r="I107" s="163"/>
      <c r="J107" s="163"/>
      <c r="K107" s="163"/>
      <c r="L107" s="164"/>
      <c r="M107" s="185"/>
      <c r="N107" s="185"/>
    </row>
    <row r="108" spans="1:16" ht="103.5"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1898" t="s">
        <v>200</v>
      </c>
      <c r="B109" s="1899"/>
      <c r="C109" s="106">
        <v>2014</v>
      </c>
      <c r="D109" s="31"/>
      <c r="E109" s="174"/>
      <c r="F109" s="175"/>
      <c r="G109" s="175"/>
      <c r="H109" s="175"/>
      <c r="I109" s="175"/>
      <c r="J109" s="175"/>
      <c r="K109" s="175"/>
      <c r="L109" s="176"/>
      <c r="M109" s="185"/>
      <c r="N109" s="185"/>
    </row>
    <row r="110" spans="1:16">
      <c r="A110" s="1891"/>
      <c r="B110" s="1899"/>
      <c r="C110" s="110">
        <v>2015</v>
      </c>
      <c r="D110" s="38">
        <v>1</v>
      </c>
      <c r="E110" s="177"/>
      <c r="F110" s="178"/>
      <c r="G110" s="178"/>
      <c r="H110" s="178"/>
      <c r="I110" s="178"/>
      <c r="J110" s="178"/>
      <c r="K110" s="178"/>
      <c r="L110" s="179">
        <v>1</v>
      </c>
      <c r="M110" s="185"/>
      <c r="N110" s="185"/>
    </row>
    <row r="111" spans="1:16">
      <c r="A111" s="1891"/>
      <c r="B111" s="1899"/>
      <c r="C111" s="110">
        <v>2016</v>
      </c>
      <c r="D111" s="38"/>
      <c r="E111" s="177"/>
      <c r="F111" s="178"/>
      <c r="G111" s="178"/>
      <c r="H111" s="178"/>
      <c r="I111" s="178"/>
      <c r="J111" s="178"/>
      <c r="K111" s="178"/>
      <c r="L111" s="179"/>
      <c r="M111" s="185"/>
      <c r="N111" s="185"/>
    </row>
    <row r="112" spans="1:16">
      <c r="A112" s="1891"/>
      <c r="B112" s="1899"/>
      <c r="C112" s="110">
        <v>2017</v>
      </c>
      <c r="D112" s="38"/>
      <c r="E112" s="177"/>
      <c r="F112" s="178"/>
      <c r="G112" s="178"/>
      <c r="H112" s="178"/>
      <c r="I112" s="178"/>
      <c r="J112" s="178"/>
      <c r="K112" s="178"/>
      <c r="L112" s="179"/>
      <c r="M112" s="185"/>
      <c r="N112" s="185"/>
    </row>
    <row r="113" spans="1:14">
      <c r="A113" s="1891"/>
      <c r="B113" s="1899"/>
      <c r="C113" s="110">
        <v>2018</v>
      </c>
      <c r="D113" s="38"/>
      <c r="E113" s="177"/>
      <c r="F113" s="178"/>
      <c r="G113" s="178"/>
      <c r="H113" s="178"/>
      <c r="I113" s="178"/>
      <c r="J113" s="178"/>
      <c r="K113" s="178"/>
      <c r="L113" s="179"/>
      <c r="M113" s="185"/>
      <c r="N113" s="185"/>
    </row>
    <row r="114" spans="1:14">
      <c r="A114" s="1891"/>
      <c r="B114" s="1899"/>
      <c r="C114" s="110">
        <v>2019</v>
      </c>
      <c r="D114" s="38"/>
      <c r="E114" s="177"/>
      <c r="F114" s="178"/>
      <c r="G114" s="178"/>
      <c r="H114" s="178"/>
      <c r="I114" s="178"/>
      <c r="J114" s="178"/>
      <c r="K114" s="178"/>
      <c r="L114" s="179"/>
      <c r="M114" s="185"/>
      <c r="N114" s="185"/>
    </row>
    <row r="115" spans="1:14">
      <c r="A115" s="1891"/>
      <c r="B115" s="1899"/>
      <c r="C115" s="110">
        <v>2020</v>
      </c>
      <c r="D115" s="38"/>
      <c r="E115" s="177"/>
      <c r="F115" s="178"/>
      <c r="G115" s="178"/>
      <c r="H115" s="178"/>
      <c r="I115" s="178"/>
      <c r="J115" s="178"/>
      <c r="K115" s="178"/>
      <c r="L115" s="179"/>
      <c r="M115" s="185"/>
      <c r="N115" s="185"/>
    </row>
    <row r="116" spans="1:14" ht="25.5" customHeight="1" thickBot="1">
      <c r="A116" s="1915"/>
      <c r="B116" s="1900"/>
      <c r="C116" s="113" t="s">
        <v>13</v>
      </c>
      <c r="D116" s="116">
        <f t="shared" ref="D116:I116" si="9">SUM(D109:D115)</f>
        <v>1</v>
      </c>
      <c r="E116" s="180">
        <f t="shared" si="9"/>
        <v>0</v>
      </c>
      <c r="F116" s="181">
        <f t="shared" si="9"/>
        <v>0</v>
      </c>
      <c r="G116" s="181">
        <f t="shared" si="9"/>
        <v>0</v>
      </c>
      <c r="H116" s="181">
        <f t="shared" si="9"/>
        <v>0</v>
      </c>
      <c r="I116" s="181">
        <f t="shared" si="9"/>
        <v>0</v>
      </c>
      <c r="J116" s="181"/>
      <c r="K116" s="181">
        <f>SUM(K109:K115)</f>
        <v>0</v>
      </c>
      <c r="L116" s="182">
        <f>SUM(L109:L115)</f>
        <v>1</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1909" t="s">
        <v>81</v>
      </c>
      <c r="B118" s="1911" t="s">
        <v>179</v>
      </c>
      <c r="C118" s="1924" t="s">
        <v>9</v>
      </c>
      <c r="D118" s="1926" t="s">
        <v>82</v>
      </c>
      <c r="E118" s="162" t="s">
        <v>79</v>
      </c>
      <c r="F118" s="163"/>
      <c r="G118" s="163"/>
      <c r="H118" s="163"/>
      <c r="I118" s="163"/>
      <c r="J118" s="163"/>
      <c r="K118" s="163"/>
      <c r="L118" s="164"/>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1898"/>
      <c r="B120" s="1899"/>
      <c r="C120" s="106">
        <v>2014</v>
      </c>
      <c r="D120" s="31"/>
      <c r="E120" s="174"/>
      <c r="F120" s="175"/>
      <c r="G120" s="175"/>
      <c r="H120" s="175"/>
      <c r="I120" s="175"/>
      <c r="J120" s="175"/>
      <c r="K120" s="175"/>
      <c r="L120" s="176"/>
      <c r="M120" s="185"/>
      <c r="N120" s="185"/>
    </row>
    <row r="121" spans="1:14">
      <c r="A121" s="1891"/>
      <c r="B121" s="1899"/>
      <c r="C121" s="110">
        <v>2015</v>
      </c>
      <c r="D121" s="38"/>
      <c r="E121" s="177"/>
      <c r="F121" s="178"/>
      <c r="G121" s="178"/>
      <c r="H121" s="178"/>
      <c r="I121" s="178"/>
      <c r="J121" s="178"/>
      <c r="K121" s="178"/>
      <c r="L121" s="179"/>
      <c r="M121" s="185"/>
      <c r="N121" s="185"/>
    </row>
    <row r="122" spans="1:14">
      <c r="A122" s="1891"/>
      <c r="B122" s="1899"/>
      <c r="C122" s="110">
        <v>2016</v>
      </c>
      <c r="D122" s="38"/>
      <c r="E122" s="177"/>
      <c r="F122" s="178"/>
      <c r="G122" s="178"/>
      <c r="H122" s="178"/>
      <c r="I122" s="178"/>
      <c r="J122" s="178"/>
      <c r="K122" s="178"/>
      <c r="L122" s="179"/>
      <c r="M122" s="185"/>
      <c r="N122" s="185"/>
    </row>
    <row r="123" spans="1:14">
      <c r="A123" s="1891"/>
      <c r="B123" s="1899"/>
      <c r="C123" s="110">
        <v>2017</v>
      </c>
      <c r="D123" s="38"/>
      <c r="E123" s="177"/>
      <c r="F123" s="178"/>
      <c r="G123" s="178"/>
      <c r="H123" s="178"/>
      <c r="I123" s="178"/>
      <c r="J123" s="178"/>
      <c r="K123" s="178"/>
      <c r="L123" s="179"/>
      <c r="M123" s="185"/>
      <c r="N123" s="185"/>
    </row>
    <row r="124" spans="1:14">
      <c r="A124" s="1891"/>
      <c r="B124" s="1899"/>
      <c r="C124" s="110">
        <v>2018</v>
      </c>
      <c r="D124" s="38"/>
      <c r="E124" s="177"/>
      <c r="F124" s="178"/>
      <c r="G124" s="178"/>
      <c r="H124" s="178"/>
      <c r="I124" s="178"/>
      <c r="J124" s="178"/>
      <c r="K124" s="178"/>
      <c r="L124" s="179"/>
      <c r="M124" s="185"/>
      <c r="N124" s="185"/>
    </row>
    <row r="125" spans="1:14">
      <c r="A125" s="1891"/>
      <c r="B125" s="1899"/>
      <c r="C125" s="110">
        <v>2019</v>
      </c>
      <c r="D125" s="38"/>
      <c r="E125" s="177"/>
      <c r="F125" s="178"/>
      <c r="G125" s="178"/>
      <c r="H125" s="178"/>
      <c r="I125" s="178"/>
      <c r="J125" s="178"/>
      <c r="K125" s="178"/>
      <c r="L125" s="179"/>
      <c r="M125" s="185"/>
      <c r="N125" s="185"/>
    </row>
    <row r="126" spans="1:14">
      <c r="A126" s="1891"/>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1909" t="s">
        <v>84</v>
      </c>
      <c r="B129" s="1911" t="s">
        <v>179</v>
      </c>
      <c r="C129" s="188" t="s">
        <v>9</v>
      </c>
      <c r="D129" s="189" t="s">
        <v>85</v>
      </c>
      <c r="E129" s="190"/>
      <c r="F129" s="190"/>
      <c r="G129" s="191"/>
      <c r="H129" s="185"/>
      <c r="I129" s="185"/>
      <c r="J129" s="185"/>
      <c r="K129" s="185"/>
      <c r="L129" s="185"/>
      <c r="M129" s="185"/>
      <c r="N129" s="185"/>
    </row>
    <row r="130" spans="1:16" ht="77.25" customHeight="1">
      <c r="A130" s="1910"/>
      <c r="B130" s="1912"/>
      <c r="C130" s="192"/>
      <c r="D130" s="166" t="s">
        <v>86</v>
      </c>
      <c r="E130" s="193" t="s">
        <v>87</v>
      </c>
      <c r="F130" s="167" t="s">
        <v>88</v>
      </c>
      <c r="G130" s="194" t="s">
        <v>13</v>
      </c>
      <c r="H130" s="185"/>
      <c r="I130" s="185"/>
      <c r="J130" s="185"/>
      <c r="K130" s="185"/>
      <c r="L130" s="185"/>
      <c r="M130" s="185"/>
      <c r="N130" s="185"/>
    </row>
    <row r="131" spans="1:16" ht="15" customHeight="1">
      <c r="A131" s="1874"/>
      <c r="B131" s="1855"/>
      <c r="C131" s="106">
        <v>2015</v>
      </c>
      <c r="D131" s="30">
        <f>18*3</f>
        <v>54</v>
      </c>
      <c r="E131" s="31">
        <v>235</v>
      </c>
      <c r="F131" s="31"/>
      <c r="G131" s="195">
        <f>D131+E131</f>
        <v>289</v>
      </c>
      <c r="H131" s="185"/>
      <c r="I131" s="185"/>
      <c r="J131" s="185"/>
      <c r="K131" s="185"/>
      <c r="L131" s="185"/>
      <c r="M131" s="185"/>
      <c r="N131" s="185"/>
    </row>
    <row r="132" spans="1:16">
      <c r="A132" s="1854"/>
      <c r="B132" s="1855"/>
      <c r="C132" s="110">
        <v>2016</v>
      </c>
      <c r="D132" s="37">
        <f>18*7</f>
        <v>126</v>
      </c>
      <c r="E132" s="38"/>
      <c r="F132" s="38"/>
      <c r="G132" s="195">
        <f>D132</f>
        <v>126</v>
      </c>
      <c r="H132" s="185"/>
      <c r="I132" s="185"/>
      <c r="J132" s="185"/>
      <c r="K132" s="185"/>
      <c r="L132" s="185"/>
      <c r="M132" s="185"/>
      <c r="N132" s="185"/>
    </row>
    <row r="133" spans="1:16">
      <c r="A133" s="1854"/>
      <c r="B133" s="1855"/>
      <c r="C133" s="110">
        <v>2017</v>
      </c>
      <c r="D133" s="37">
        <v>73</v>
      </c>
      <c r="E133" s="38"/>
      <c r="F133" s="38"/>
      <c r="G133" s="195">
        <f t="shared" ref="G133:G136" si="11">SUM(D133:F133)</f>
        <v>73</v>
      </c>
      <c r="H133" s="185"/>
      <c r="I133" s="185"/>
      <c r="J133" s="185"/>
      <c r="K133" s="185"/>
      <c r="L133" s="185"/>
      <c r="M133" s="185"/>
      <c r="N133" s="185"/>
    </row>
    <row r="134" spans="1:16">
      <c r="A134" s="1854"/>
      <c r="B134" s="1855"/>
      <c r="C134" s="110">
        <v>2018</v>
      </c>
      <c r="D134" s="37"/>
      <c r="E134" s="38"/>
      <c r="F134" s="38"/>
      <c r="G134" s="195">
        <f t="shared" si="11"/>
        <v>0</v>
      </c>
      <c r="H134" s="185"/>
      <c r="I134" s="185"/>
      <c r="J134" s="185"/>
      <c r="K134" s="185"/>
      <c r="L134" s="185"/>
      <c r="M134" s="185"/>
      <c r="N134" s="185"/>
    </row>
    <row r="135" spans="1:16">
      <c r="A135" s="1854"/>
      <c r="B135" s="1855"/>
      <c r="C135" s="110">
        <v>2019</v>
      </c>
      <c r="D135" s="37"/>
      <c r="E135" s="38"/>
      <c r="F135" s="38"/>
      <c r="G135" s="195">
        <f t="shared" si="11"/>
        <v>0</v>
      </c>
      <c r="H135" s="185"/>
      <c r="I135" s="185"/>
      <c r="J135" s="185"/>
      <c r="K135" s="185"/>
      <c r="L135" s="185"/>
      <c r="M135" s="185"/>
      <c r="N135" s="185"/>
    </row>
    <row r="136" spans="1:16">
      <c r="A136" s="1854"/>
      <c r="B136" s="1855"/>
      <c r="C136" s="110">
        <v>2020</v>
      </c>
      <c r="D136" s="37"/>
      <c r="E136" s="38"/>
      <c r="F136" s="38"/>
      <c r="G136" s="195">
        <f t="shared" si="11"/>
        <v>0</v>
      </c>
      <c r="H136" s="185"/>
      <c r="I136" s="185"/>
      <c r="J136" s="185"/>
      <c r="K136" s="185"/>
      <c r="L136" s="185"/>
      <c r="M136" s="185"/>
      <c r="N136" s="185"/>
    </row>
    <row r="137" spans="1:16" ht="17.25" customHeight="1" thickBot="1">
      <c r="A137" s="1856"/>
      <c r="B137" s="1857"/>
      <c r="C137" s="113" t="s">
        <v>13</v>
      </c>
      <c r="D137" s="139">
        <f>SUM(D131:D136)</f>
        <v>253</v>
      </c>
      <c r="E137" s="139">
        <f t="shared" ref="E137:F137" si="12">SUM(E131:E136)</f>
        <v>235</v>
      </c>
      <c r="F137" s="139">
        <f t="shared" si="12"/>
        <v>0</v>
      </c>
      <c r="G137" s="196">
        <f>SUM(G131:G136)</f>
        <v>488</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1913" t="s">
        <v>91</v>
      </c>
      <c r="B142" s="1903" t="s">
        <v>179</v>
      </c>
      <c r="C142" s="1907" t="s">
        <v>9</v>
      </c>
      <c r="D142" s="203" t="s">
        <v>92</v>
      </c>
      <c r="E142" s="204"/>
      <c r="F142" s="204"/>
      <c r="G142" s="204"/>
      <c r="H142" s="204"/>
      <c r="I142" s="205"/>
      <c r="J142" s="1895" t="s">
        <v>93</v>
      </c>
      <c r="K142" s="1896"/>
      <c r="L142" s="1896"/>
      <c r="M142" s="1896"/>
      <c r="N142" s="1897"/>
      <c r="O142" s="165"/>
      <c r="P142" s="165"/>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c r="B144" s="1899"/>
      <c r="C144" s="106">
        <v>2014</v>
      </c>
      <c r="D144" s="30"/>
      <c r="E144" s="30"/>
      <c r="F144" s="31"/>
      <c r="G144" s="175"/>
      <c r="H144" s="175"/>
      <c r="I144" s="213">
        <f>D144+F144+G144+H144</f>
        <v>0</v>
      </c>
      <c r="J144" s="214"/>
      <c r="K144" s="215"/>
      <c r="L144" s="214"/>
      <c r="M144" s="215"/>
      <c r="N144" s="216"/>
      <c r="O144" s="165"/>
      <c r="P144" s="165"/>
    </row>
    <row r="145" spans="1:16" ht="19.5" customHeight="1">
      <c r="A145" s="1891"/>
      <c r="B145" s="1899"/>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1891"/>
      <c r="B146" s="1899"/>
      <c r="C146" s="110">
        <v>2016</v>
      </c>
      <c r="D146" s="37"/>
      <c r="E146" s="37"/>
      <c r="F146" s="38"/>
      <c r="G146" s="178"/>
      <c r="H146" s="178"/>
      <c r="I146" s="213">
        <f t="shared" si="13"/>
        <v>0</v>
      </c>
      <c r="J146" s="217"/>
      <c r="K146" s="218"/>
      <c r="L146" s="217"/>
      <c r="M146" s="218"/>
      <c r="N146" s="219"/>
      <c r="O146" s="165"/>
      <c r="P146" s="165"/>
    </row>
    <row r="147" spans="1:16" ht="17.25" customHeight="1">
      <c r="A147" s="1891"/>
      <c r="B147" s="1899"/>
      <c r="C147" s="110">
        <v>2017</v>
      </c>
      <c r="D147" s="37"/>
      <c r="E147" s="37"/>
      <c r="F147" s="38"/>
      <c r="G147" s="178"/>
      <c r="H147" s="178"/>
      <c r="I147" s="213">
        <f t="shared" si="13"/>
        <v>0</v>
      </c>
      <c r="J147" s="217"/>
      <c r="K147" s="218"/>
      <c r="L147" s="217"/>
      <c r="M147" s="218"/>
      <c r="N147" s="219"/>
      <c r="O147" s="165"/>
      <c r="P147" s="165"/>
    </row>
    <row r="148" spans="1:16" ht="19.5" customHeight="1">
      <c r="A148" s="1891"/>
      <c r="B148" s="1899"/>
      <c r="C148" s="110">
        <v>2018</v>
      </c>
      <c r="D148" s="37"/>
      <c r="E148" s="37"/>
      <c r="F148" s="38"/>
      <c r="G148" s="178"/>
      <c r="H148" s="178"/>
      <c r="I148" s="213">
        <f t="shared" si="13"/>
        <v>0</v>
      </c>
      <c r="J148" s="217"/>
      <c r="K148" s="218"/>
      <c r="L148" s="217"/>
      <c r="M148" s="218"/>
      <c r="N148" s="219"/>
      <c r="O148" s="165"/>
      <c r="P148" s="165"/>
    </row>
    <row r="149" spans="1:16" ht="19.5" customHeight="1">
      <c r="A149" s="1891"/>
      <c r="B149" s="1899"/>
      <c r="C149" s="110">
        <v>2019</v>
      </c>
      <c r="D149" s="37"/>
      <c r="E149" s="37"/>
      <c r="F149" s="38"/>
      <c r="G149" s="178"/>
      <c r="H149" s="178"/>
      <c r="I149" s="213">
        <f t="shared" si="13"/>
        <v>0</v>
      </c>
      <c r="J149" s="217"/>
      <c r="K149" s="218"/>
      <c r="L149" s="217"/>
      <c r="M149" s="218"/>
      <c r="N149" s="219"/>
      <c r="O149" s="165"/>
      <c r="P149" s="165"/>
    </row>
    <row r="150" spans="1:16" ht="18.75" customHeight="1">
      <c r="A150" s="1891"/>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1901" t="s">
        <v>105</v>
      </c>
      <c r="B153" s="1903" t="s">
        <v>179</v>
      </c>
      <c r="C153" s="1905" t="s">
        <v>9</v>
      </c>
      <c r="D153" s="225" t="s">
        <v>106</v>
      </c>
      <c r="E153" s="225"/>
      <c r="F153" s="226"/>
      <c r="G153" s="226"/>
      <c r="H153" s="225" t="s">
        <v>107</v>
      </c>
      <c r="I153" s="225"/>
      <c r="J153" s="227"/>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1898"/>
      <c r="B155" s="1899"/>
      <c r="C155" s="233">
        <v>2014</v>
      </c>
      <c r="D155" s="214"/>
      <c r="E155" s="175"/>
      <c r="F155" s="215"/>
      <c r="G155" s="213">
        <f>SUM(D155:F155)</f>
        <v>0</v>
      </c>
      <c r="H155" s="214"/>
      <c r="I155" s="175"/>
      <c r="J155" s="176"/>
      <c r="O155" s="165"/>
      <c r="P155" s="165"/>
    </row>
    <row r="156" spans="1:16" ht="19.5" customHeight="1">
      <c r="A156" s="1891"/>
      <c r="B156" s="1899"/>
      <c r="C156" s="234">
        <v>2015</v>
      </c>
      <c r="D156" s="217"/>
      <c r="E156" s="178"/>
      <c r="F156" s="218"/>
      <c r="G156" s="213">
        <f t="shared" ref="G156:G161" si="15">SUM(D156:F156)</f>
        <v>0</v>
      </c>
      <c r="H156" s="217"/>
      <c r="I156" s="178"/>
      <c r="J156" s="179"/>
      <c r="O156" s="165"/>
      <c r="P156" s="165"/>
    </row>
    <row r="157" spans="1:16" ht="17.25" customHeight="1">
      <c r="A157" s="1891"/>
      <c r="B157" s="1899"/>
      <c r="C157" s="234">
        <v>2016</v>
      </c>
      <c r="D157" s="217"/>
      <c r="E157" s="178"/>
      <c r="F157" s="218"/>
      <c r="G157" s="213">
        <f t="shared" si="15"/>
        <v>0</v>
      </c>
      <c r="H157" s="217"/>
      <c r="I157" s="178"/>
      <c r="J157" s="179"/>
      <c r="O157" s="165"/>
      <c r="P157" s="165"/>
    </row>
    <row r="158" spans="1:16" ht="15" customHeight="1">
      <c r="A158" s="1891"/>
      <c r="B158" s="1899"/>
      <c r="C158" s="234">
        <v>2017</v>
      </c>
      <c r="D158" s="217"/>
      <c r="E158" s="178"/>
      <c r="F158" s="218"/>
      <c r="G158" s="213">
        <f t="shared" si="15"/>
        <v>0</v>
      </c>
      <c r="H158" s="217"/>
      <c r="I158" s="178"/>
      <c r="J158" s="179"/>
      <c r="O158" s="165"/>
      <c r="P158" s="165"/>
    </row>
    <row r="159" spans="1:16" ht="19.5" customHeight="1">
      <c r="A159" s="1891"/>
      <c r="B159" s="1899"/>
      <c r="C159" s="234">
        <v>2018</v>
      </c>
      <c r="D159" s="217"/>
      <c r="E159" s="178"/>
      <c r="F159" s="218"/>
      <c r="G159" s="213">
        <f t="shared" si="15"/>
        <v>0</v>
      </c>
      <c r="H159" s="217"/>
      <c r="I159" s="178"/>
      <c r="J159" s="179"/>
      <c r="O159" s="165"/>
      <c r="P159" s="165"/>
    </row>
    <row r="160" spans="1:16" ht="15" customHeight="1">
      <c r="A160" s="1891"/>
      <c r="B160" s="1899"/>
      <c r="C160" s="234">
        <v>2019</v>
      </c>
      <c r="D160" s="217"/>
      <c r="E160" s="178"/>
      <c r="F160" s="218"/>
      <c r="G160" s="213">
        <f t="shared" si="15"/>
        <v>0</v>
      </c>
      <c r="H160" s="217"/>
      <c r="I160" s="178"/>
      <c r="J160" s="179"/>
      <c r="O160" s="165"/>
      <c r="P160" s="165"/>
    </row>
    <row r="161" spans="1:18" ht="17.25" customHeight="1">
      <c r="A161" s="1891"/>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240"/>
      <c r="F163" s="165"/>
      <c r="G163" s="165"/>
      <c r="H163" s="165"/>
      <c r="I163" s="165"/>
      <c r="J163" s="241"/>
      <c r="K163" s="242"/>
    </row>
    <row r="164" spans="1:18" ht="95.25" customHeight="1">
      <c r="A164" s="243" t="s">
        <v>115</v>
      </c>
      <c r="B164" s="405" t="s">
        <v>181</v>
      </c>
      <c r="C164" s="245" t="s">
        <v>9</v>
      </c>
      <c r="D164" s="246" t="s">
        <v>117</v>
      </c>
      <c r="E164" s="246" t="s">
        <v>118</v>
      </c>
      <c r="F164" s="247" t="s">
        <v>119</v>
      </c>
      <c r="G164" s="246" t="s">
        <v>120</v>
      </c>
      <c r="H164" s="246" t="s">
        <v>121</v>
      </c>
      <c r="I164" s="248" t="s">
        <v>122</v>
      </c>
      <c r="J164" s="249" t="s">
        <v>123</v>
      </c>
      <c r="K164" s="249" t="s">
        <v>124</v>
      </c>
      <c r="L164" s="406"/>
    </row>
    <row r="165" spans="1:18" ht="15.75" customHeight="1">
      <c r="A165" s="1878"/>
      <c r="B165" s="1879"/>
      <c r="C165" s="251">
        <v>2014</v>
      </c>
      <c r="D165" s="175"/>
      <c r="E165" s="175"/>
      <c r="F165" s="175"/>
      <c r="G165" s="175"/>
      <c r="H165" s="175"/>
      <c r="I165" s="176"/>
      <c r="J165" s="252">
        <f>SUM(D165,F165,H165)</f>
        <v>0</v>
      </c>
      <c r="K165" s="253">
        <f>SUM(E165,G165,I165)</f>
        <v>0</v>
      </c>
      <c r="L165" s="406"/>
    </row>
    <row r="166" spans="1:18">
      <c r="A166" s="1880"/>
      <c r="B166" s="1881"/>
      <c r="C166" s="254">
        <v>2015</v>
      </c>
      <c r="D166" s="255"/>
      <c r="E166" s="255"/>
      <c r="F166" s="255"/>
      <c r="G166" s="255"/>
      <c r="H166" s="255"/>
      <c r="I166" s="256"/>
      <c r="J166" s="407">
        <f t="shared" ref="J166:K171" si="17">SUM(D166,F166,H166)</f>
        <v>0</v>
      </c>
      <c r="K166" s="408">
        <f t="shared" si="17"/>
        <v>0</v>
      </c>
      <c r="L166" s="406"/>
    </row>
    <row r="167" spans="1:18">
      <c r="A167" s="1880"/>
      <c r="B167" s="1881"/>
      <c r="C167" s="254">
        <v>2016</v>
      </c>
      <c r="D167" s="255"/>
      <c r="E167" s="255"/>
      <c r="F167" s="255"/>
      <c r="G167" s="255"/>
      <c r="H167" s="255"/>
      <c r="I167" s="256"/>
      <c r="J167" s="407">
        <f t="shared" si="17"/>
        <v>0</v>
      </c>
      <c r="K167" s="408">
        <f t="shared" si="17"/>
        <v>0</v>
      </c>
    </row>
    <row r="168" spans="1:18">
      <c r="A168" s="1880"/>
      <c r="B168" s="1881"/>
      <c r="C168" s="254">
        <v>2017</v>
      </c>
      <c r="D168" s="255"/>
      <c r="E168" s="165"/>
      <c r="F168" s="255"/>
      <c r="G168" s="255"/>
      <c r="H168" s="255"/>
      <c r="I168" s="256"/>
      <c r="J168" s="407">
        <f t="shared" si="17"/>
        <v>0</v>
      </c>
      <c r="K168" s="408">
        <f t="shared" si="17"/>
        <v>0</v>
      </c>
    </row>
    <row r="169" spans="1:18">
      <c r="A169" s="1880"/>
      <c r="B169" s="1881"/>
      <c r="C169" s="262">
        <v>2018</v>
      </c>
      <c r="D169" s="255"/>
      <c r="E169" s="255"/>
      <c r="F169" s="255"/>
      <c r="G169" s="263"/>
      <c r="H169" s="255"/>
      <c r="I169" s="256"/>
      <c r="J169" s="407">
        <f t="shared" si="17"/>
        <v>0</v>
      </c>
      <c r="K169" s="408">
        <f t="shared" si="17"/>
        <v>0</v>
      </c>
      <c r="L169" s="406"/>
    </row>
    <row r="170" spans="1:18">
      <c r="A170" s="1880"/>
      <c r="B170" s="1881"/>
      <c r="C170" s="254">
        <v>2019</v>
      </c>
      <c r="D170" s="165"/>
      <c r="E170" s="255"/>
      <c r="F170" s="255"/>
      <c r="G170" s="255"/>
      <c r="H170" s="263"/>
      <c r="I170" s="256"/>
      <c r="J170" s="407">
        <f t="shared" si="17"/>
        <v>0</v>
      </c>
      <c r="K170" s="408">
        <f t="shared" si="17"/>
        <v>0</v>
      </c>
      <c r="L170" s="406"/>
    </row>
    <row r="171" spans="1:18">
      <c r="A171" s="1880"/>
      <c r="B171" s="1881"/>
      <c r="C171" s="262">
        <v>2020</v>
      </c>
      <c r="D171" s="255"/>
      <c r="E171" s="255"/>
      <c r="F171" s="255"/>
      <c r="G171" s="255"/>
      <c r="H171" s="255"/>
      <c r="I171" s="256"/>
      <c r="J171" s="407">
        <f t="shared" si="17"/>
        <v>0</v>
      </c>
      <c r="K171" s="408">
        <f t="shared" si="17"/>
        <v>0</v>
      </c>
      <c r="L171" s="406"/>
    </row>
    <row r="172" spans="1:18" ht="41.25" customHeight="1" thickBot="1">
      <c r="A172" s="1882"/>
      <c r="B172" s="1883"/>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406"/>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1884" t="s">
        <v>127</v>
      </c>
      <c r="B176" s="1863" t="s">
        <v>182</v>
      </c>
      <c r="C176" s="1886" t="s">
        <v>9</v>
      </c>
      <c r="D176" s="273" t="s">
        <v>128</v>
      </c>
      <c r="E176" s="274"/>
      <c r="F176" s="274"/>
      <c r="G176" s="275"/>
      <c r="H176" s="276"/>
      <c r="I176" s="1888" t="s">
        <v>129</v>
      </c>
      <c r="J176" s="1889"/>
      <c r="K176" s="1889"/>
      <c r="L176" s="1889"/>
      <c r="M176" s="1889"/>
      <c r="N176" s="1889"/>
      <c r="O176" s="1890"/>
    </row>
    <row r="177" spans="1:15" s="56" customFormat="1" ht="144.7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1891"/>
      <c r="B178" s="1899"/>
      <c r="C178" s="106">
        <v>2014</v>
      </c>
      <c r="D178" s="30"/>
      <c r="E178" s="31"/>
      <c r="F178" s="31"/>
      <c r="G178" s="284">
        <f>SUM(D178:F178)</f>
        <v>0</v>
      </c>
      <c r="H178" s="155"/>
      <c r="I178" s="155"/>
      <c r="J178" s="31"/>
      <c r="K178" s="31"/>
      <c r="L178" s="31"/>
      <c r="M178" s="31"/>
      <c r="N178" s="31"/>
      <c r="O178" s="34"/>
    </row>
    <row r="179" spans="1:15">
      <c r="A179" s="1891"/>
      <c r="B179" s="1899"/>
      <c r="C179" s="110">
        <v>2015</v>
      </c>
      <c r="D179" s="37">
        <v>7</v>
      </c>
      <c r="E179" s="38">
        <v>2</v>
      </c>
      <c r="F179" s="38"/>
      <c r="G179" s="284">
        <v>9</v>
      </c>
      <c r="H179" s="411">
        <v>13</v>
      </c>
      <c r="I179" s="112">
        <v>2</v>
      </c>
      <c r="J179" s="38">
        <v>2</v>
      </c>
      <c r="K179" s="38"/>
      <c r="L179" s="38">
        <v>2</v>
      </c>
      <c r="M179" s="38">
        <v>1</v>
      </c>
      <c r="N179" s="38"/>
      <c r="O179" s="88">
        <v>2</v>
      </c>
    </row>
    <row r="180" spans="1:15">
      <c r="A180" s="1891"/>
      <c r="B180" s="1899"/>
      <c r="C180" s="110">
        <v>2016</v>
      </c>
      <c r="D180" s="37">
        <v>77</v>
      </c>
      <c r="E180" s="38">
        <v>4</v>
      </c>
      <c r="F180" s="38">
        <v>1</v>
      </c>
      <c r="G180" s="284">
        <f>SUM(D180:F180)</f>
        <v>82</v>
      </c>
      <c r="H180" s="411">
        <v>89</v>
      </c>
      <c r="I180" s="112"/>
      <c r="J180" s="38">
        <v>25</v>
      </c>
      <c r="K180" s="38">
        <f>3+4+1+2+1</f>
        <v>11</v>
      </c>
      <c r="L180" s="38">
        <v>33</v>
      </c>
      <c r="M180" s="38">
        <v>6</v>
      </c>
      <c r="N180" s="38"/>
      <c r="O180" s="88">
        <v>7</v>
      </c>
    </row>
    <row r="181" spans="1:15">
      <c r="A181" s="1891"/>
      <c r="B181" s="1899"/>
      <c r="C181" s="110">
        <v>2017</v>
      </c>
      <c r="D181" s="37">
        <v>39</v>
      </c>
      <c r="E181" s="38">
        <v>4</v>
      </c>
      <c r="F181" s="38"/>
      <c r="G181" s="284">
        <f t="shared" ref="G181:G184" si="19">SUM(D181:F181)</f>
        <v>43</v>
      </c>
      <c r="H181" s="411">
        <v>51</v>
      </c>
      <c r="I181" s="112">
        <v>2</v>
      </c>
      <c r="J181" s="38">
        <v>16</v>
      </c>
      <c r="K181" s="38">
        <v>5</v>
      </c>
      <c r="L181" s="38">
        <v>14</v>
      </c>
      <c r="M181" s="38">
        <v>5</v>
      </c>
      <c r="N181" s="38"/>
      <c r="O181" s="88">
        <v>1</v>
      </c>
    </row>
    <row r="182" spans="1:15">
      <c r="A182" s="1891"/>
      <c r="B182" s="1899"/>
      <c r="C182" s="110">
        <v>2018</v>
      </c>
      <c r="D182" s="37"/>
      <c r="E182" s="38"/>
      <c r="F182" s="38"/>
      <c r="G182" s="284">
        <f t="shared" si="19"/>
        <v>0</v>
      </c>
      <c r="H182" s="411"/>
      <c r="I182" s="112"/>
      <c r="J182" s="38"/>
      <c r="K182" s="38"/>
      <c r="L182" s="38"/>
      <c r="M182" s="38"/>
      <c r="N182" s="38"/>
      <c r="O182" s="88"/>
    </row>
    <row r="183" spans="1:15">
      <c r="A183" s="1891"/>
      <c r="B183" s="1899"/>
      <c r="C183" s="110">
        <v>2019</v>
      </c>
      <c r="D183" s="37"/>
      <c r="E183" s="38"/>
      <c r="F183" s="38"/>
      <c r="G183" s="284">
        <f t="shared" si="19"/>
        <v>0</v>
      </c>
      <c r="H183" s="411"/>
      <c r="I183" s="112"/>
      <c r="J183" s="38"/>
      <c r="K183" s="38"/>
      <c r="L183" s="38"/>
      <c r="M183" s="38"/>
      <c r="N183" s="38"/>
      <c r="O183" s="88"/>
    </row>
    <row r="184" spans="1:15">
      <c r="A184" s="1891"/>
      <c r="B184" s="1899"/>
      <c r="C184" s="110">
        <v>2020</v>
      </c>
      <c r="D184" s="37"/>
      <c r="E184" s="38"/>
      <c r="F184" s="38"/>
      <c r="G184" s="284">
        <f t="shared" si="19"/>
        <v>0</v>
      </c>
      <c r="H184" s="411"/>
      <c r="I184" s="112"/>
      <c r="J184" s="38"/>
      <c r="K184" s="38"/>
      <c r="L184" s="38"/>
      <c r="M184" s="38"/>
      <c r="N184" s="38"/>
      <c r="O184" s="88"/>
    </row>
    <row r="185" spans="1:15" ht="45" customHeight="1" thickBot="1">
      <c r="A185" s="1893"/>
      <c r="B185" s="1900"/>
      <c r="C185" s="113" t="s">
        <v>13</v>
      </c>
      <c r="D185" s="139">
        <f>SUM(D178:D184)</f>
        <v>123</v>
      </c>
      <c r="E185" s="116">
        <f>SUM(E178:E184)</f>
        <v>10</v>
      </c>
      <c r="F185" s="116">
        <f>SUM(F178:F184)</f>
        <v>1</v>
      </c>
      <c r="G185" s="220">
        <f t="shared" ref="G185:O185" si="20">SUM(G178:G184)</f>
        <v>134</v>
      </c>
      <c r="H185" s="285">
        <f t="shared" si="20"/>
        <v>153</v>
      </c>
      <c r="I185" s="115">
        <f t="shared" si="20"/>
        <v>4</v>
      </c>
      <c r="J185" s="116">
        <f t="shared" si="20"/>
        <v>43</v>
      </c>
      <c r="K185" s="116">
        <f t="shared" si="20"/>
        <v>16</v>
      </c>
      <c r="L185" s="116">
        <f t="shared" si="20"/>
        <v>49</v>
      </c>
      <c r="M185" s="116">
        <f t="shared" si="20"/>
        <v>12</v>
      </c>
      <c r="N185" s="116">
        <f t="shared" si="20"/>
        <v>0</v>
      </c>
      <c r="O185" s="117">
        <f t="shared" si="20"/>
        <v>10</v>
      </c>
    </row>
    <row r="186" spans="1:15" ht="33" customHeight="1" thickBot="1">
      <c r="A186" t="s">
        <v>201</v>
      </c>
    </row>
    <row r="187" spans="1:15" ht="19.5" customHeight="1">
      <c r="A187" s="1861" t="s">
        <v>137</v>
      </c>
      <c r="B187" s="1863" t="s">
        <v>182</v>
      </c>
      <c r="C187" s="1865" t="s">
        <v>9</v>
      </c>
      <c r="D187" s="1867" t="s">
        <v>138</v>
      </c>
      <c r="E187" s="1868"/>
      <c r="F187" s="1868"/>
      <c r="G187" s="1869"/>
      <c r="H187" s="1870" t="s">
        <v>139</v>
      </c>
      <c r="I187" s="1865"/>
      <c r="J187" s="1865"/>
      <c r="K187" s="1865"/>
      <c r="L187" s="1871"/>
    </row>
    <row r="188" spans="1:15" ht="102" customHeight="1">
      <c r="A188" s="1862"/>
      <c r="B188" s="1864"/>
      <c r="C188" s="1866"/>
      <c r="D188" s="286" t="s">
        <v>140</v>
      </c>
      <c r="E188" s="286" t="s">
        <v>141</v>
      </c>
      <c r="F188" s="286" t="s">
        <v>142</v>
      </c>
      <c r="G188" s="287" t="s">
        <v>13</v>
      </c>
      <c r="H188" s="288" t="s">
        <v>143</v>
      </c>
      <c r="I188" s="286" t="s">
        <v>144</v>
      </c>
      <c r="J188" s="286" t="s">
        <v>145</v>
      </c>
      <c r="K188" s="286" t="s">
        <v>146</v>
      </c>
      <c r="L188" s="289" t="s">
        <v>147</v>
      </c>
      <c r="M188" s="28"/>
    </row>
    <row r="189" spans="1:15" ht="15" customHeight="1">
      <c r="A189" s="1976" t="s">
        <v>202</v>
      </c>
      <c r="B189" s="1977"/>
      <c r="C189" s="290">
        <v>2014</v>
      </c>
      <c r="D189" s="133"/>
      <c r="E189" s="109"/>
      <c r="F189" s="109"/>
      <c r="G189" s="291">
        <f>SUM(D189:F189)</f>
        <v>0</v>
      </c>
      <c r="H189" s="108"/>
      <c r="I189" s="109"/>
      <c r="J189" s="109"/>
      <c r="K189" s="109"/>
      <c r="L189" s="134"/>
    </row>
    <row r="190" spans="1:15">
      <c r="A190" s="1978"/>
      <c r="B190" s="1855"/>
      <c r="C190" s="73">
        <v>2015</v>
      </c>
      <c r="D190" s="37">
        <v>565</v>
      </c>
      <c r="E190" s="38">
        <v>37</v>
      </c>
      <c r="F190" s="38"/>
      <c r="G190" s="291">
        <f>SUM(D190:F190)</f>
        <v>602</v>
      </c>
      <c r="H190" s="112">
        <v>5</v>
      </c>
      <c r="I190" s="38">
        <v>50</v>
      </c>
      <c r="J190" s="38"/>
      <c r="K190" s="38">
        <f>G190-H190-I190-L190</f>
        <v>331</v>
      </c>
      <c r="L190" s="88">
        <v>216</v>
      </c>
    </row>
    <row r="191" spans="1:15">
      <c r="A191" s="1978"/>
      <c r="B191" s="1855"/>
      <c r="C191" s="73">
        <v>2016</v>
      </c>
      <c r="D191" s="74">
        <v>3775</v>
      </c>
      <c r="E191" s="89">
        <v>111</v>
      </c>
      <c r="F191" s="89">
        <v>100</v>
      </c>
      <c r="G191" s="440">
        <f t="shared" ref="G191:G195" si="21">SUM(D191:F191)</f>
        <v>3986</v>
      </c>
      <c r="H191" s="112"/>
      <c r="I191" s="38">
        <v>218</v>
      </c>
      <c r="J191" s="38">
        <v>24</v>
      </c>
      <c r="K191" s="38">
        <v>2529</v>
      </c>
      <c r="L191" s="438">
        <v>1215</v>
      </c>
    </row>
    <row r="192" spans="1:15">
      <c r="A192" s="1978"/>
      <c r="B192" s="1855"/>
      <c r="C192" s="73">
        <v>2017</v>
      </c>
      <c r="D192" s="74">
        <v>1300</v>
      </c>
      <c r="E192" s="89">
        <v>195</v>
      </c>
      <c r="F192" s="89"/>
      <c r="G192" s="440">
        <f t="shared" si="21"/>
        <v>1495</v>
      </c>
      <c r="H192" s="112"/>
      <c r="I192" s="38">
        <v>68</v>
      </c>
      <c r="J192" s="38">
        <v>11</v>
      </c>
      <c r="K192" s="38">
        <v>485</v>
      </c>
      <c r="L192" s="88">
        <v>931</v>
      </c>
    </row>
    <row r="193" spans="1:14">
      <c r="A193" s="1978"/>
      <c r="B193" s="1855"/>
      <c r="C193" s="73">
        <v>2018</v>
      </c>
      <c r="D193" s="74"/>
      <c r="E193" s="89"/>
      <c r="F193" s="89"/>
      <c r="G193" s="440">
        <f t="shared" si="21"/>
        <v>0</v>
      </c>
      <c r="H193" s="112"/>
      <c r="I193" s="38"/>
      <c r="J193" s="38"/>
      <c r="K193" s="38"/>
      <c r="L193" s="88"/>
    </row>
    <row r="194" spans="1:14">
      <c r="A194" s="1978"/>
      <c r="B194" s="1855"/>
      <c r="C194" s="73">
        <v>2019</v>
      </c>
      <c r="D194" s="74"/>
      <c r="E194" s="89"/>
      <c r="F194" s="89"/>
      <c r="G194" s="440">
        <f t="shared" si="21"/>
        <v>0</v>
      </c>
      <c r="H194" s="112"/>
      <c r="I194" s="38"/>
      <c r="J194" s="38"/>
      <c r="K194" s="38"/>
      <c r="L194" s="88"/>
    </row>
    <row r="195" spans="1:14">
      <c r="A195" s="1978"/>
      <c r="B195" s="1855"/>
      <c r="C195" s="73">
        <v>2020</v>
      </c>
      <c r="D195" s="74"/>
      <c r="E195" s="89"/>
      <c r="F195" s="89"/>
      <c r="G195" s="440">
        <f t="shared" si="21"/>
        <v>0</v>
      </c>
      <c r="H195" s="112"/>
      <c r="I195" s="38"/>
      <c r="J195" s="38"/>
      <c r="K195" s="38"/>
      <c r="L195" s="88"/>
    </row>
    <row r="196" spans="1:14" ht="15.75" thickBot="1">
      <c r="A196" s="1979"/>
      <c r="B196" s="1857"/>
      <c r="C196" s="136" t="s">
        <v>13</v>
      </c>
      <c r="D196" s="441">
        <f t="shared" ref="D196:L196" si="22">SUM(D189:D195)</f>
        <v>5640</v>
      </c>
      <c r="E196" s="442">
        <f t="shared" si="22"/>
        <v>343</v>
      </c>
      <c r="F196" s="442">
        <f t="shared" si="22"/>
        <v>100</v>
      </c>
      <c r="G196" s="443">
        <f t="shared" si="22"/>
        <v>6083</v>
      </c>
      <c r="H196" s="115">
        <f t="shared" si="22"/>
        <v>5</v>
      </c>
      <c r="I196" s="116">
        <f t="shared" si="22"/>
        <v>336</v>
      </c>
      <c r="J196" s="116">
        <f t="shared" si="22"/>
        <v>35</v>
      </c>
      <c r="K196" s="116">
        <f t="shared" si="22"/>
        <v>3345</v>
      </c>
      <c r="L196" s="117">
        <f t="shared" si="22"/>
        <v>2362</v>
      </c>
    </row>
    <row r="197" spans="1:14">
      <c r="A197" s="444"/>
      <c r="B197" s="445"/>
      <c r="C197" s="81"/>
      <c r="D197" s="446"/>
      <c r="E197" s="446"/>
      <c r="F197" s="446"/>
      <c r="G197" s="446"/>
      <c r="H197" s="35"/>
      <c r="I197" s="35"/>
      <c r="J197" s="35"/>
      <c r="K197" s="35"/>
      <c r="L197" s="35"/>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296" t="s">
        <v>150</v>
      </c>
      <c r="B201" s="417" t="s">
        <v>182</v>
      </c>
      <c r="C201" s="298" t="s">
        <v>9</v>
      </c>
      <c r="D201" s="299" t="s">
        <v>151</v>
      </c>
      <c r="E201" s="300" t="s">
        <v>152</v>
      </c>
      <c r="F201" s="300" t="s">
        <v>153</v>
      </c>
      <c r="G201" s="298" t="s">
        <v>154</v>
      </c>
      <c r="H201" s="301" t="s">
        <v>155</v>
      </c>
      <c r="I201" s="302" t="s">
        <v>156</v>
      </c>
      <c r="J201" s="303" t="s">
        <v>157</v>
      </c>
      <c r="K201" s="300" t="s">
        <v>158</v>
      </c>
      <c r="L201" s="304" t="s">
        <v>159</v>
      </c>
    </row>
    <row r="202" spans="1:14" ht="15" customHeight="1">
      <c r="A202" s="1854"/>
      <c r="B202" s="1855"/>
      <c r="C202" s="72">
        <v>2014</v>
      </c>
      <c r="D202" s="30"/>
      <c r="E202" s="31"/>
      <c r="F202" s="31"/>
      <c r="G202" s="29"/>
      <c r="H202" s="305"/>
      <c r="I202" s="306"/>
      <c r="J202" s="307"/>
      <c r="K202" s="31"/>
      <c r="L202" s="34"/>
    </row>
    <row r="203" spans="1:14">
      <c r="A203" s="1854"/>
      <c r="B203" s="1855"/>
      <c r="C203" s="73">
        <v>2015</v>
      </c>
      <c r="D203" s="37"/>
      <c r="E203" s="38"/>
      <c r="F203" s="38"/>
      <c r="G203" s="36"/>
      <c r="H203" s="308"/>
      <c r="I203" s="309"/>
      <c r="J203" s="310"/>
      <c r="K203" s="38"/>
      <c r="L203" s="88"/>
    </row>
    <row r="204" spans="1:14">
      <c r="A204" s="1854"/>
      <c r="B204" s="1855"/>
      <c r="C204" s="73">
        <v>2016</v>
      </c>
      <c r="D204" s="37"/>
      <c r="E204" s="38"/>
      <c r="F204" s="38"/>
      <c r="G204" s="36"/>
      <c r="H204" s="308"/>
      <c r="I204" s="309"/>
      <c r="J204" s="310">
        <v>1</v>
      </c>
      <c r="K204" s="38">
        <v>40</v>
      </c>
      <c r="L204" s="88"/>
    </row>
    <row r="205" spans="1:14">
      <c r="A205" s="1854"/>
      <c r="B205" s="1855"/>
      <c r="C205" s="73">
        <v>2017</v>
      </c>
      <c r="D205" s="37"/>
      <c r="E205" s="38"/>
      <c r="F205" s="38"/>
      <c r="G205" s="36"/>
      <c r="H205" s="308"/>
      <c r="I205" s="309"/>
      <c r="J205" s="310"/>
      <c r="K205" s="38"/>
      <c r="L205" s="88"/>
    </row>
    <row r="206" spans="1:14">
      <c r="A206" s="1854"/>
      <c r="B206" s="1855"/>
      <c r="C206" s="73">
        <v>2018</v>
      </c>
      <c r="D206" s="37"/>
      <c r="E206" s="38"/>
      <c r="F206" s="38"/>
      <c r="G206" s="36"/>
      <c r="H206" s="308"/>
      <c r="I206" s="309"/>
      <c r="J206" s="310"/>
      <c r="K206" s="38"/>
      <c r="L206" s="88"/>
    </row>
    <row r="207" spans="1:14">
      <c r="A207" s="1854"/>
      <c r="B207" s="1855"/>
      <c r="C207" s="73">
        <v>2019</v>
      </c>
      <c r="D207" s="37"/>
      <c r="E207" s="38"/>
      <c r="F207" s="38"/>
      <c r="G207" s="36"/>
      <c r="H207" s="308"/>
      <c r="I207" s="309"/>
      <c r="J207" s="310"/>
      <c r="K207" s="38"/>
      <c r="L207" s="88"/>
    </row>
    <row r="208" spans="1:14">
      <c r="A208" s="1854"/>
      <c r="B208" s="1855"/>
      <c r="C208" s="73">
        <v>2020</v>
      </c>
      <c r="D208" s="311"/>
      <c r="E208" s="312"/>
      <c r="F208" s="312"/>
      <c r="G208" s="313"/>
      <c r="H208" s="314"/>
      <c r="I208" s="315"/>
      <c r="J208" s="316"/>
      <c r="K208" s="312"/>
      <c r="L208" s="317"/>
    </row>
    <row r="209" spans="1:12" ht="20.25" customHeight="1" thickBot="1">
      <c r="A209" s="1856"/>
      <c r="B209" s="1857"/>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1</v>
      </c>
      <c r="K209" s="139">
        <f t="shared" si="23"/>
        <v>40</v>
      </c>
      <c r="L209" s="139">
        <f t="shared" si="23"/>
        <v>0</v>
      </c>
    </row>
    <row r="211" spans="1:12" ht="15.75" thickBot="1"/>
    <row r="212" spans="1:12" ht="29.25">
      <c r="A212" s="321" t="s">
        <v>161</v>
      </c>
      <c r="B212" s="322" t="s">
        <v>162</v>
      </c>
      <c r="C212" s="323">
        <v>2014</v>
      </c>
      <c r="D212" s="324">
        <v>2015</v>
      </c>
      <c r="E212" s="324">
        <v>2016</v>
      </c>
      <c r="F212" s="324">
        <v>2017</v>
      </c>
      <c r="G212" s="324">
        <v>2018</v>
      </c>
      <c r="H212" s="324">
        <v>2019</v>
      </c>
      <c r="I212" s="325">
        <v>2020</v>
      </c>
    </row>
    <row r="213" spans="1:12" ht="15" customHeight="1">
      <c r="A213" s="406" t="s">
        <v>163</v>
      </c>
      <c r="B213" s="1973"/>
      <c r="C213" s="72"/>
      <c r="D213" s="328">
        <v>494568.26</v>
      </c>
      <c r="E213" s="328">
        <v>1345013.46</v>
      </c>
      <c r="F213" s="447">
        <f>F214+F215+F216+F217</f>
        <v>720882.21</v>
      </c>
      <c r="G213" s="135"/>
      <c r="H213" s="135"/>
      <c r="I213" s="326"/>
    </row>
    <row r="214" spans="1:12">
      <c r="A214" s="406" t="s">
        <v>164</v>
      </c>
      <c r="B214" s="1974"/>
      <c r="C214" s="72"/>
      <c r="D214" s="328">
        <f>D213-D216-D217</f>
        <v>326526.20999999996</v>
      </c>
      <c r="E214" s="328">
        <f>E213-E215-E216-E217</f>
        <v>721349.03999999992</v>
      </c>
      <c r="F214" s="447">
        <v>286209.3</v>
      </c>
      <c r="G214" s="135"/>
      <c r="H214" s="135"/>
      <c r="I214" s="326"/>
    </row>
    <row r="215" spans="1:12">
      <c r="A215" s="406" t="s">
        <v>165</v>
      </c>
      <c r="B215" s="1974"/>
      <c r="C215" s="72"/>
      <c r="D215" s="328">
        <v>0</v>
      </c>
      <c r="E215" s="328">
        <v>36918.61</v>
      </c>
      <c r="F215" s="447">
        <v>20838.88</v>
      </c>
      <c r="G215" s="135"/>
      <c r="H215" s="135"/>
      <c r="I215" s="326"/>
    </row>
    <row r="216" spans="1:12">
      <c r="A216" s="406" t="s">
        <v>166</v>
      </c>
      <c r="B216" s="1974"/>
      <c r="C216" s="72"/>
      <c r="D216" s="328">
        <f>32920+4007.7</f>
        <v>36927.699999999997</v>
      </c>
      <c r="E216" s="328">
        <f>84570+9041+6100+17195.4+18735+9225+10000+7500+5000+9450</f>
        <v>176816.4</v>
      </c>
      <c r="F216" s="447">
        <v>118019.04</v>
      </c>
      <c r="G216" s="135"/>
      <c r="H216" s="135"/>
      <c r="I216" s="326"/>
    </row>
    <row r="217" spans="1:12">
      <c r="A217" s="406" t="s">
        <v>167</v>
      </c>
      <c r="B217" s="1974"/>
      <c r="C217" s="72"/>
      <c r="D217" s="328">
        <f>12623.32+7870+54197.43+45800+10623.6</f>
        <v>131114.35</v>
      </c>
      <c r="E217" s="328">
        <f>79880+29384.15+5000+19935+27600+7360+46233.93+38203.06+15069.69+39708.39+20931.4+29640+10530.95+40452.84</f>
        <v>409929.41000000003</v>
      </c>
      <c r="F217" s="447">
        <v>295814.99</v>
      </c>
      <c r="G217" s="135"/>
      <c r="H217" s="135"/>
      <c r="I217" s="326"/>
    </row>
    <row r="218" spans="1:12" ht="30">
      <c r="A218" s="448" t="s">
        <v>168</v>
      </c>
      <c r="B218" s="1974"/>
      <c r="C218" s="72"/>
      <c r="D218" s="328">
        <v>123775.81</v>
      </c>
      <c r="E218" s="328">
        <v>289750.45</v>
      </c>
      <c r="F218" s="447">
        <v>272053.37</v>
      </c>
      <c r="G218" s="135"/>
      <c r="H218" s="135"/>
      <c r="I218" s="326"/>
    </row>
    <row r="219" spans="1:12" ht="15.75" thickBot="1">
      <c r="A219" s="449"/>
      <c r="B219" s="1975"/>
      <c r="C219" s="42" t="s">
        <v>13</v>
      </c>
      <c r="D219" s="332">
        <v>618344.07000000007</v>
      </c>
      <c r="E219" s="332">
        <v>1634763.91</v>
      </c>
      <c r="F219" s="450">
        <f>F213+F218</f>
        <v>992935.58</v>
      </c>
      <c r="G219" s="333">
        <f t="shared" ref="G219:I219" si="24">SUM(G214:G218)</f>
        <v>0</v>
      </c>
      <c r="H219" s="333">
        <f t="shared" si="24"/>
        <v>0</v>
      </c>
      <c r="I219" s="451">
        <f t="shared" si="24"/>
        <v>0</v>
      </c>
    </row>
    <row r="221" spans="1:12">
      <c r="D221" s="452"/>
      <c r="E221" s="327"/>
      <c r="F221" s="453"/>
    </row>
    <row r="222" spans="1:12">
      <c r="D222" s="327"/>
      <c r="E222" s="327"/>
    </row>
    <row r="223" spans="1:12">
      <c r="D223" s="327"/>
      <c r="E223" s="327"/>
    </row>
    <row r="224" spans="1:12">
      <c r="D224" s="327"/>
      <c r="E224" s="327"/>
    </row>
    <row r="225" spans="1:5">
      <c r="D225" s="327"/>
      <c r="E225" s="327"/>
    </row>
    <row r="227" spans="1:5">
      <c r="A227" s="56"/>
    </row>
    <row r="228" spans="1:5">
      <c r="D228" s="327"/>
      <c r="E228" s="327"/>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7"/>
  <sheetViews>
    <sheetView tabSelected="1" topLeftCell="B199" workbookViewId="0">
      <selection activeCell="F223" sqref="F223"/>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586</v>
      </c>
      <c r="C1" s="1944"/>
      <c r="D1" s="1944"/>
      <c r="E1" s="1944"/>
      <c r="F1" s="1944"/>
    </row>
    <row r="2" spans="1:25" s="1" customFormat="1" ht="20.100000000000001" customHeight="1" thickBot="1"/>
    <row r="3" spans="1:25" s="4" customFormat="1" ht="20.100000000000001" customHeight="1">
      <c r="A3" s="1837" t="s">
        <v>2</v>
      </c>
      <c r="B3" s="1838"/>
      <c r="C3" s="1838"/>
      <c r="D3" s="1838"/>
      <c r="E3" s="1838"/>
      <c r="F3" s="2492"/>
      <c r="G3" s="2492"/>
      <c r="H3" s="2492"/>
      <c r="I3" s="2492"/>
      <c r="J3" s="2492"/>
      <c r="K3" s="2492"/>
      <c r="L3" s="2492"/>
      <c r="M3" s="2492"/>
      <c r="N3" s="2492"/>
      <c r="O3" s="2493"/>
    </row>
    <row r="4" spans="1:25" s="4" customFormat="1" ht="20.100000000000001" customHeight="1">
      <c r="A4" s="2420" t="s">
        <v>170</v>
      </c>
      <c r="B4" s="1948"/>
      <c r="C4" s="1948"/>
      <c r="D4" s="1948"/>
      <c r="E4" s="1948"/>
      <c r="F4" s="1948"/>
      <c r="G4" s="1948"/>
      <c r="H4" s="1948"/>
      <c r="I4" s="1948"/>
      <c r="J4" s="1948"/>
      <c r="K4" s="1948"/>
      <c r="L4" s="1948"/>
      <c r="M4" s="1948"/>
      <c r="N4" s="1948"/>
      <c r="O4" s="1949"/>
    </row>
    <row r="5" spans="1:25" s="4" customFormat="1" ht="20.100000000000001" customHeight="1">
      <c r="A5" s="2420"/>
      <c r="B5" s="1948"/>
      <c r="C5" s="1948"/>
      <c r="D5" s="1948"/>
      <c r="E5" s="1948"/>
      <c r="F5" s="1948"/>
      <c r="G5" s="1948"/>
      <c r="H5" s="1948"/>
      <c r="I5" s="1948"/>
      <c r="J5" s="1948"/>
      <c r="K5" s="1948"/>
      <c r="L5" s="1948"/>
      <c r="M5" s="1948"/>
      <c r="N5" s="1948"/>
      <c r="O5" s="1949"/>
    </row>
    <row r="6" spans="1:25" s="4" customFormat="1" ht="20.100000000000001" customHeight="1">
      <c r="A6" s="2420"/>
      <c r="B6" s="1948"/>
      <c r="C6" s="1948"/>
      <c r="D6" s="1948"/>
      <c r="E6" s="1948"/>
      <c r="F6" s="1948"/>
      <c r="G6" s="1948"/>
      <c r="H6" s="1948"/>
      <c r="I6" s="1948"/>
      <c r="J6" s="1948"/>
      <c r="K6" s="1948"/>
      <c r="L6" s="1948"/>
      <c r="M6" s="1948"/>
      <c r="N6" s="1948"/>
      <c r="O6" s="1949"/>
    </row>
    <row r="7" spans="1:25" s="4" customFormat="1" ht="20.100000000000001" customHeight="1">
      <c r="A7" s="2420"/>
      <c r="B7" s="1948"/>
      <c r="C7" s="1948"/>
      <c r="D7" s="1948"/>
      <c r="E7" s="1948"/>
      <c r="F7" s="1948"/>
      <c r="G7" s="1948"/>
      <c r="H7" s="1948"/>
      <c r="I7" s="1948"/>
      <c r="J7" s="1948"/>
      <c r="K7" s="1948"/>
      <c r="L7" s="1948"/>
      <c r="M7" s="1948"/>
      <c r="N7" s="1948"/>
      <c r="O7" s="1949"/>
    </row>
    <row r="8" spans="1:25" s="4" customFormat="1" ht="20.100000000000001" customHeight="1">
      <c r="A8" s="2420"/>
      <c r="B8" s="1948"/>
      <c r="C8" s="1948"/>
      <c r="D8" s="1948"/>
      <c r="E8" s="1948"/>
      <c r="F8" s="1948"/>
      <c r="G8" s="1948"/>
      <c r="H8" s="1948"/>
      <c r="I8" s="1948"/>
      <c r="J8" s="1948"/>
      <c r="K8" s="1948"/>
      <c r="L8" s="1948"/>
      <c r="M8" s="1948"/>
      <c r="N8" s="1948"/>
      <c r="O8" s="1949"/>
    </row>
    <row r="9" spans="1:25" s="4" customFormat="1" ht="20.100000000000001" customHeight="1">
      <c r="A9" s="2420"/>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1839"/>
      <c r="B15" s="1814"/>
      <c r="C15" s="10"/>
      <c r="D15" s="2421" t="s">
        <v>5</v>
      </c>
      <c r="E15" s="2489"/>
      <c r="F15" s="2489"/>
      <c r="G15" s="2489"/>
      <c r="H15" s="1746"/>
      <c r="I15" s="12" t="s">
        <v>6</v>
      </c>
      <c r="J15" s="13"/>
      <c r="K15" s="13"/>
      <c r="L15" s="13"/>
      <c r="M15" s="13"/>
      <c r="N15" s="13"/>
      <c r="O15" s="14"/>
      <c r="P15" s="15"/>
      <c r="Q15" s="16"/>
      <c r="R15" s="17"/>
      <c r="S15" s="17"/>
      <c r="T15" s="17"/>
      <c r="U15" s="17"/>
      <c r="V15" s="17"/>
      <c r="W15" s="15"/>
      <c r="X15" s="15"/>
      <c r="Y15" s="16"/>
    </row>
    <row r="16" spans="1:25" s="56" customFormat="1" ht="129" customHeight="1">
      <c r="A16" s="153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2408"/>
      <c r="B17" s="1855"/>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2378"/>
      <c r="B18" s="1855"/>
      <c r="C18" s="36">
        <v>2015</v>
      </c>
      <c r="D18" s="37"/>
      <c r="E18" s="38">
        <v>2</v>
      </c>
      <c r="F18" s="38">
        <v>1</v>
      </c>
      <c r="G18" s="32">
        <f>SUM(D18:F18)</f>
        <v>3</v>
      </c>
      <c r="H18" s="39"/>
      <c r="I18" s="38"/>
      <c r="J18" s="38"/>
      <c r="K18" s="38"/>
      <c r="L18" s="38"/>
      <c r="M18" s="38"/>
      <c r="N18" s="38">
        <v>1</v>
      </c>
      <c r="O18" s="40">
        <v>2</v>
      </c>
      <c r="P18" s="35"/>
      <c r="Q18" s="35"/>
      <c r="R18" s="35"/>
      <c r="S18" s="35"/>
      <c r="T18" s="35"/>
      <c r="U18" s="35"/>
      <c r="V18" s="35"/>
      <c r="W18" s="35"/>
      <c r="X18" s="35"/>
      <c r="Y18" s="35"/>
    </row>
    <row r="19" spans="1:25">
      <c r="A19" s="2378"/>
      <c r="B19" s="1855"/>
      <c r="C19" s="36">
        <v>2016</v>
      </c>
      <c r="D19" s="37"/>
      <c r="E19" s="38"/>
      <c r="F19" s="38"/>
      <c r="G19" s="32">
        <f t="shared" si="0"/>
        <v>0</v>
      </c>
      <c r="H19" s="39"/>
      <c r="I19" s="38"/>
      <c r="J19" s="38"/>
      <c r="K19" s="38"/>
      <c r="L19" s="38"/>
      <c r="M19" s="38"/>
      <c r="N19" s="38"/>
      <c r="O19" s="40"/>
      <c r="P19" s="35"/>
      <c r="Q19" s="35"/>
      <c r="R19" s="35"/>
      <c r="S19" s="35"/>
      <c r="T19" s="35"/>
      <c r="U19" s="35"/>
      <c r="V19" s="35"/>
      <c r="W19" s="35"/>
      <c r="X19" s="35"/>
      <c r="Y19" s="35"/>
    </row>
    <row r="20" spans="1:25">
      <c r="A20" s="2378"/>
      <c r="B20" s="1855"/>
      <c r="C20" s="36">
        <v>2017</v>
      </c>
      <c r="D20" s="37"/>
      <c r="E20" s="38"/>
      <c r="F20" s="38"/>
      <c r="G20" s="32">
        <f t="shared" si="0"/>
        <v>0</v>
      </c>
      <c r="H20" s="39"/>
      <c r="I20" s="38"/>
      <c r="J20" s="38"/>
      <c r="K20" s="38"/>
      <c r="L20" s="38"/>
      <c r="M20" s="38"/>
      <c r="N20" s="38"/>
      <c r="O20" s="40"/>
      <c r="P20" s="35"/>
      <c r="Q20" s="35"/>
      <c r="R20" s="35"/>
      <c r="S20" s="35"/>
      <c r="T20" s="35"/>
      <c r="U20" s="35"/>
      <c r="V20" s="35"/>
      <c r="W20" s="35"/>
      <c r="X20" s="35"/>
      <c r="Y20" s="35"/>
    </row>
    <row r="21" spans="1:25">
      <c r="A21" s="2378"/>
      <c r="B21" s="1855"/>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2378"/>
      <c r="B22" s="1855"/>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2378"/>
      <c r="B23" s="1855"/>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19.5" customHeight="1" thickBot="1">
      <c r="A24" s="1856"/>
      <c r="B24" s="1857"/>
      <c r="C24" s="42" t="s">
        <v>13</v>
      </c>
      <c r="D24" s="43">
        <f>SUM(D17:D23)</f>
        <v>0</v>
      </c>
      <c r="E24" s="44">
        <f>SUM(E17:E23)</f>
        <v>2</v>
      </c>
      <c r="F24" s="44">
        <f>SUM(F17:F23)</f>
        <v>1</v>
      </c>
      <c r="G24" s="45">
        <f>SUM(D24:F24)</f>
        <v>3</v>
      </c>
      <c r="H24" s="46">
        <f>SUM(H17:H23)</f>
        <v>0</v>
      </c>
      <c r="I24" s="47">
        <f>SUM(I17:I23)</f>
        <v>0</v>
      </c>
      <c r="J24" s="47">
        <f t="shared" ref="J24:N24" si="1">SUM(J17:J23)</f>
        <v>0</v>
      </c>
      <c r="K24" s="47">
        <f t="shared" si="1"/>
        <v>0</v>
      </c>
      <c r="L24" s="47">
        <f t="shared" si="1"/>
        <v>0</v>
      </c>
      <c r="M24" s="47">
        <f t="shared" si="1"/>
        <v>0</v>
      </c>
      <c r="N24" s="47">
        <f t="shared" si="1"/>
        <v>1</v>
      </c>
      <c r="O24" s="48">
        <f>SUM(O17:O23)</f>
        <v>2</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1839"/>
      <c r="B26" s="1814"/>
      <c r="C26" s="50"/>
      <c r="D26" s="2423" t="s">
        <v>5</v>
      </c>
      <c r="E26" s="2490"/>
      <c r="F26" s="2490"/>
      <c r="G26" s="2491"/>
      <c r="H26" s="15"/>
      <c r="I26" s="16"/>
      <c r="J26" s="17"/>
      <c r="K26" s="17"/>
      <c r="L26" s="17"/>
      <c r="M26" s="17"/>
      <c r="N26" s="17"/>
      <c r="O26" s="15"/>
      <c r="P26" s="15"/>
    </row>
    <row r="27" spans="1:25" s="56" customFormat="1" ht="93" customHeight="1">
      <c r="A27" s="171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2408"/>
      <c r="B28" s="1855"/>
      <c r="C28" s="57">
        <v>2014</v>
      </c>
      <c r="D28" s="33"/>
      <c r="E28" s="31"/>
      <c r="F28" s="31"/>
      <c r="G28" s="58">
        <f>SUM(D28:F28)</f>
        <v>0</v>
      </c>
      <c r="H28" s="35"/>
      <c r="I28" s="35"/>
      <c r="J28" s="35"/>
      <c r="K28" s="35"/>
      <c r="L28" s="35"/>
      <c r="M28" s="35"/>
      <c r="N28" s="35"/>
      <c r="O28" s="35"/>
      <c r="P28" s="35"/>
      <c r="Q28" s="7"/>
    </row>
    <row r="29" spans="1:25">
      <c r="A29" s="2378"/>
      <c r="B29" s="1855"/>
      <c r="C29" s="59">
        <v>2015</v>
      </c>
      <c r="D29" s="39">
        <v>192</v>
      </c>
      <c r="E29" s="38">
        <v>1026</v>
      </c>
      <c r="F29" s="38">
        <v>26</v>
      </c>
      <c r="G29" s="58">
        <f t="shared" ref="G29:G35" si="2">SUM(D29:F29)</f>
        <v>1244</v>
      </c>
      <c r="H29" s="35"/>
      <c r="I29" s="35"/>
      <c r="J29" s="35"/>
      <c r="K29" s="35"/>
      <c r="L29" s="35"/>
      <c r="M29" s="35"/>
      <c r="N29" s="35"/>
      <c r="O29" s="35"/>
      <c r="P29" s="35"/>
      <c r="Q29" s="7"/>
    </row>
    <row r="30" spans="1:25">
      <c r="A30" s="2378"/>
      <c r="B30" s="1855"/>
      <c r="C30" s="59">
        <v>2016</v>
      </c>
      <c r="D30" s="39"/>
      <c r="E30" s="38"/>
      <c r="F30" s="38"/>
      <c r="G30" s="58">
        <f t="shared" si="2"/>
        <v>0</v>
      </c>
      <c r="H30" s="35"/>
      <c r="I30" s="35"/>
      <c r="J30" s="35"/>
      <c r="K30" s="35"/>
      <c r="L30" s="35"/>
      <c r="M30" s="35"/>
      <c r="N30" s="35"/>
      <c r="O30" s="35"/>
      <c r="P30" s="35"/>
      <c r="Q30" s="7"/>
    </row>
    <row r="31" spans="1:25">
      <c r="A31" s="2378"/>
      <c r="B31" s="1855"/>
      <c r="C31" s="59">
        <v>2017</v>
      </c>
      <c r="D31" s="39"/>
      <c r="E31" s="38"/>
      <c r="F31" s="38"/>
      <c r="G31" s="58">
        <f t="shared" si="2"/>
        <v>0</v>
      </c>
      <c r="H31" s="35"/>
      <c r="I31" s="35"/>
      <c r="J31" s="35"/>
      <c r="K31" s="35"/>
      <c r="L31" s="35"/>
      <c r="M31" s="35"/>
      <c r="N31" s="35"/>
      <c r="O31" s="35"/>
      <c r="P31" s="35"/>
      <c r="Q31" s="7"/>
    </row>
    <row r="32" spans="1:25">
      <c r="A32" s="2378"/>
      <c r="B32" s="1855"/>
      <c r="C32" s="59">
        <v>2018</v>
      </c>
      <c r="D32" s="39"/>
      <c r="E32" s="38"/>
      <c r="F32" s="38"/>
      <c r="G32" s="58">
        <f>SUM(D32:F32)</f>
        <v>0</v>
      </c>
      <c r="H32" s="35"/>
      <c r="I32" s="35"/>
      <c r="J32" s="35"/>
      <c r="K32" s="35"/>
      <c r="L32" s="35"/>
      <c r="M32" s="35"/>
      <c r="N32" s="35"/>
      <c r="O32" s="35"/>
      <c r="P32" s="35"/>
      <c r="Q32" s="7"/>
    </row>
    <row r="33" spans="1:17">
      <c r="A33" s="2378"/>
      <c r="B33" s="1855"/>
      <c r="C33" s="60">
        <v>2019</v>
      </c>
      <c r="D33" s="39"/>
      <c r="E33" s="38"/>
      <c r="F33" s="38"/>
      <c r="G33" s="58">
        <f t="shared" si="2"/>
        <v>0</v>
      </c>
      <c r="H33" s="35"/>
      <c r="I33" s="35"/>
      <c r="J33" s="35"/>
      <c r="K33" s="35"/>
      <c r="L33" s="35"/>
      <c r="M33" s="35"/>
      <c r="N33" s="35"/>
      <c r="O33" s="35"/>
      <c r="P33" s="35"/>
      <c r="Q33" s="7"/>
    </row>
    <row r="34" spans="1:17">
      <c r="A34" s="2378"/>
      <c r="B34" s="1855"/>
      <c r="C34" s="59">
        <v>2020</v>
      </c>
      <c r="D34" s="39"/>
      <c r="E34" s="38"/>
      <c r="F34" s="38"/>
      <c r="G34" s="58">
        <f t="shared" si="2"/>
        <v>0</v>
      </c>
      <c r="H34" s="35"/>
      <c r="I34" s="35"/>
      <c r="J34" s="35"/>
      <c r="K34" s="35"/>
      <c r="L34" s="35"/>
      <c r="M34" s="35"/>
      <c r="N34" s="35"/>
      <c r="O34" s="35"/>
      <c r="P34" s="35"/>
      <c r="Q34" s="7"/>
    </row>
    <row r="35" spans="1:17" ht="20.25" customHeight="1" thickBot="1">
      <c r="A35" s="1856"/>
      <c r="B35" s="1857"/>
      <c r="C35" s="61" t="s">
        <v>13</v>
      </c>
      <c r="D35" s="46">
        <f>SUM(D28:D34)</f>
        <v>192</v>
      </c>
      <c r="E35" s="44">
        <f>SUM(E28:E34)</f>
        <v>1026</v>
      </c>
      <c r="F35" s="44">
        <f>SUM(F28:F34)</f>
        <v>26</v>
      </c>
      <c r="G35" s="48">
        <f t="shared" si="2"/>
        <v>1244</v>
      </c>
      <c r="H35" s="35"/>
      <c r="I35" s="35"/>
      <c r="J35" s="35"/>
      <c r="K35" s="35"/>
      <c r="L35" s="35"/>
      <c r="M35" s="35"/>
      <c r="N35" s="35"/>
      <c r="O35" s="35"/>
      <c r="P35" s="35"/>
      <c r="Q35" s="7"/>
    </row>
    <row r="36" spans="1:17">
      <c r="A36" s="1810"/>
      <c r="B36" s="1810"/>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1840" t="s">
        <v>26</v>
      </c>
      <c r="B39" s="1816" t="s">
        <v>171</v>
      </c>
      <c r="C39" s="68" t="s">
        <v>9</v>
      </c>
      <c r="D39" s="1750" t="s">
        <v>28</v>
      </c>
      <c r="E39" s="70" t="s">
        <v>29</v>
      </c>
      <c r="F39" s="71"/>
      <c r="G39" s="28"/>
      <c r="H39" s="28"/>
    </row>
    <row r="40" spans="1:17">
      <c r="A40" s="2408"/>
      <c r="B40" s="1855"/>
      <c r="C40" s="72">
        <v>2014</v>
      </c>
      <c r="D40" s="30"/>
      <c r="E40" s="29"/>
      <c r="F40" s="7"/>
      <c r="G40" s="35"/>
      <c r="H40" s="35"/>
    </row>
    <row r="41" spans="1:17">
      <c r="A41" s="2378"/>
      <c r="B41" s="1855"/>
      <c r="C41" s="73">
        <v>2015</v>
      </c>
      <c r="D41" s="37">
        <v>169681</v>
      </c>
      <c r="E41" s="36">
        <v>37883</v>
      </c>
      <c r="F41" s="7"/>
      <c r="G41" s="35"/>
      <c r="H41" s="35"/>
    </row>
    <row r="42" spans="1:17">
      <c r="A42" s="2378"/>
      <c r="B42" s="1855"/>
      <c r="C42" s="73">
        <v>2016</v>
      </c>
      <c r="D42" s="37">
        <v>358257</v>
      </c>
      <c r="E42" s="36">
        <v>74829</v>
      </c>
      <c r="F42" s="7"/>
      <c r="G42" s="35"/>
      <c r="H42" s="35"/>
    </row>
    <row r="43" spans="1:17">
      <c r="A43" s="2378"/>
      <c r="B43" s="1855"/>
      <c r="C43" s="73">
        <v>2017</v>
      </c>
      <c r="D43" s="37">
        <v>138619</v>
      </c>
      <c r="E43" s="36">
        <v>74883</v>
      </c>
      <c r="F43" s="7"/>
      <c r="G43" s="35"/>
      <c r="H43" s="35"/>
    </row>
    <row r="44" spans="1:17">
      <c r="A44" s="2378"/>
      <c r="B44" s="1855"/>
      <c r="C44" s="73">
        <v>2018</v>
      </c>
      <c r="D44" s="37"/>
      <c r="E44" s="36"/>
      <c r="F44" s="7"/>
      <c r="G44" s="35"/>
      <c r="H44" s="35"/>
    </row>
    <row r="45" spans="1:17">
      <c r="A45" s="2378"/>
      <c r="B45" s="1855"/>
      <c r="C45" s="73">
        <v>2019</v>
      </c>
      <c r="D45" s="37"/>
      <c r="E45" s="36"/>
      <c r="F45" s="7"/>
      <c r="G45" s="35"/>
      <c r="H45" s="35"/>
    </row>
    <row r="46" spans="1:17">
      <c r="A46" s="2378"/>
      <c r="B46" s="1855"/>
      <c r="C46" s="73">
        <v>2020</v>
      </c>
      <c r="D46" s="37"/>
      <c r="E46" s="36"/>
      <c r="F46" s="7"/>
      <c r="G46" s="35"/>
      <c r="H46" s="35"/>
    </row>
    <row r="47" spans="1:17" ht="15.75" thickBot="1">
      <c r="A47" s="1856"/>
      <c r="B47" s="1857"/>
      <c r="C47" s="42" t="s">
        <v>13</v>
      </c>
      <c r="D47" s="43">
        <f>SUM(D40:D46)</f>
        <v>666557</v>
      </c>
      <c r="E47" s="455">
        <f>SUM(E40:E46)</f>
        <v>187595</v>
      </c>
      <c r="F47" s="78"/>
      <c r="G47" s="35"/>
      <c r="H47" s="35"/>
    </row>
    <row r="48" spans="1:17" s="35" customFormat="1" ht="15.75" thickBot="1">
      <c r="A48" s="1817"/>
      <c r="B48" s="80"/>
      <c r="C48" s="81"/>
    </row>
    <row r="49" spans="1:15" ht="83.25" customHeight="1">
      <c r="A49" s="1753" t="s">
        <v>32</v>
      </c>
      <c r="B49" s="1816" t="s">
        <v>171</v>
      </c>
      <c r="C49" s="84" t="s">
        <v>9</v>
      </c>
      <c r="D49" s="1750" t="s">
        <v>34</v>
      </c>
      <c r="E49" s="85" t="s">
        <v>35</v>
      </c>
      <c r="F49" s="85" t="s">
        <v>36</v>
      </c>
      <c r="G49" s="85" t="s">
        <v>37</v>
      </c>
      <c r="H49" s="85" t="s">
        <v>38</v>
      </c>
      <c r="I49" s="85" t="s">
        <v>39</v>
      </c>
      <c r="J49" s="85" t="s">
        <v>40</v>
      </c>
      <c r="K49" s="86" t="s">
        <v>41</v>
      </c>
    </row>
    <row r="50" spans="1:15" ht="17.25" customHeight="1">
      <c r="A50" s="1872"/>
      <c r="B50" s="1879"/>
      <c r="C50" s="87" t="s">
        <v>43</v>
      </c>
      <c r="D50" s="30"/>
      <c r="E50" s="31"/>
      <c r="F50" s="31"/>
      <c r="G50" s="31"/>
      <c r="H50" s="31"/>
      <c r="I50" s="31"/>
      <c r="J50" s="31"/>
      <c r="K50" s="34"/>
    </row>
    <row r="51" spans="1:15" ht="15" customHeight="1">
      <c r="A51" s="2408"/>
      <c r="B51" s="1881"/>
      <c r="C51" s="73">
        <v>2014</v>
      </c>
      <c r="D51" s="37"/>
      <c r="E51" s="38"/>
      <c r="F51" s="38"/>
      <c r="G51" s="38"/>
      <c r="H51" s="38"/>
      <c r="I51" s="38"/>
      <c r="J51" s="38"/>
      <c r="K51" s="88"/>
    </row>
    <row r="52" spans="1:15">
      <c r="A52" s="2408"/>
      <c r="B52" s="1881"/>
      <c r="C52" s="73">
        <v>2015</v>
      </c>
      <c r="D52" s="37">
        <v>2</v>
      </c>
      <c r="E52" s="38"/>
      <c r="F52" s="38"/>
      <c r="G52" s="38">
        <v>563</v>
      </c>
      <c r="H52" s="339">
        <v>9</v>
      </c>
      <c r="I52" s="38">
        <v>11</v>
      </c>
      <c r="J52" s="38">
        <v>66</v>
      </c>
      <c r="K52" s="340">
        <v>1719</v>
      </c>
    </row>
    <row r="53" spans="1:15">
      <c r="A53" s="2408"/>
      <c r="B53" s="1881"/>
      <c r="C53" s="73">
        <v>2016</v>
      </c>
      <c r="D53" s="37">
        <v>2</v>
      </c>
      <c r="E53" s="38">
        <v>0</v>
      </c>
      <c r="F53" s="38">
        <v>1</v>
      </c>
      <c r="G53" s="38">
        <v>943</v>
      </c>
      <c r="H53" s="38">
        <v>34</v>
      </c>
      <c r="I53" s="38">
        <v>76</v>
      </c>
      <c r="J53" s="38">
        <v>220</v>
      </c>
      <c r="K53" s="88">
        <v>3259</v>
      </c>
    </row>
    <row r="54" spans="1:15">
      <c r="A54" s="2408"/>
      <c r="B54" s="1881"/>
      <c r="C54" s="73">
        <v>2017</v>
      </c>
      <c r="D54" s="37">
        <v>2</v>
      </c>
      <c r="E54" s="38">
        <v>0</v>
      </c>
      <c r="F54" s="38">
        <v>1</v>
      </c>
      <c r="G54" s="38">
        <v>1253</v>
      </c>
      <c r="H54" s="38">
        <v>119</v>
      </c>
      <c r="I54" s="38">
        <v>85</v>
      </c>
      <c r="J54" s="38">
        <v>138</v>
      </c>
      <c r="K54" s="88">
        <v>7581</v>
      </c>
    </row>
    <row r="55" spans="1:15">
      <c r="A55" s="2408"/>
      <c r="B55" s="1881"/>
      <c r="C55" s="73">
        <v>2018</v>
      </c>
      <c r="D55" s="37"/>
      <c r="E55" s="38"/>
      <c r="F55" s="38"/>
      <c r="G55" s="38"/>
      <c r="H55" s="38"/>
      <c r="I55" s="38"/>
      <c r="J55" s="38"/>
      <c r="K55" s="88"/>
    </row>
    <row r="56" spans="1:15">
      <c r="A56" s="2408"/>
      <c r="B56" s="1881"/>
      <c r="C56" s="73">
        <v>2019</v>
      </c>
      <c r="D56" s="37"/>
      <c r="E56" s="38"/>
      <c r="F56" s="38"/>
      <c r="G56" s="38"/>
      <c r="H56" s="38"/>
      <c r="I56" s="38"/>
      <c r="J56" s="38"/>
      <c r="K56" s="88"/>
    </row>
    <row r="57" spans="1:15">
      <c r="A57" s="2408"/>
      <c r="B57" s="1881"/>
      <c r="C57" s="73">
        <v>2020</v>
      </c>
      <c r="D57" s="37"/>
      <c r="E57" s="38"/>
      <c r="F57" s="38"/>
      <c r="G57" s="38"/>
      <c r="H57" s="38"/>
      <c r="I57" s="38"/>
      <c r="J57" s="38"/>
      <c r="K57" s="93"/>
    </row>
    <row r="58" spans="1:15" ht="20.25" customHeight="1" thickBot="1">
      <c r="A58" s="1876"/>
      <c r="B58" s="1883"/>
      <c r="C58" s="42" t="s">
        <v>13</v>
      </c>
      <c r="D58" s="43">
        <f>SUM(D51:D57)</f>
        <v>6</v>
      </c>
      <c r="E58" s="44">
        <f>SUM(E51:E57)</f>
        <v>0</v>
      </c>
      <c r="F58" s="44">
        <f>SUM(F51:F57)</f>
        <v>2</v>
      </c>
      <c r="G58" s="44">
        <f>SUM(G51:G57)</f>
        <v>2759</v>
      </c>
      <c r="H58" s="44">
        <f>SUM(H51:H57)</f>
        <v>162</v>
      </c>
      <c r="I58" s="44">
        <f t="shared" ref="I58" si="3">SUM(I51:I57)</f>
        <v>172</v>
      </c>
      <c r="J58" s="44">
        <f>SUM(J51:J57)</f>
        <v>424</v>
      </c>
      <c r="K58" s="48">
        <f>SUM(K50:K56)</f>
        <v>12559</v>
      </c>
    </row>
    <row r="59" spans="1:15" ht="15.75" thickBot="1"/>
    <row r="60" spans="1:15" ht="21" customHeight="1">
      <c r="A60" s="2494" t="s">
        <v>44</v>
      </c>
      <c r="B60" s="1818"/>
      <c r="C60" s="2486" t="s">
        <v>9</v>
      </c>
      <c r="D60" s="2417" t="s">
        <v>45</v>
      </c>
      <c r="E60" s="1541" t="s">
        <v>6</v>
      </c>
      <c r="F60" s="1819"/>
      <c r="G60" s="1819"/>
      <c r="H60" s="1819"/>
      <c r="I60" s="1819"/>
      <c r="J60" s="1819"/>
      <c r="K60" s="1819"/>
      <c r="L60" s="1820"/>
    </row>
    <row r="61" spans="1:15" ht="115.5" customHeight="1">
      <c r="A61" s="2428"/>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2495" t="s">
        <v>587</v>
      </c>
      <c r="B62" s="2495"/>
      <c r="C62" s="106">
        <v>2014</v>
      </c>
      <c r="D62" s="107"/>
      <c r="E62" s="108"/>
      <c r="F62" s="109"/>
      <c r="G62" s="109"/>
      <c r="H62" s="109"/>
      <c r="I62" s="109"/>
      <c r="J62" s="109"/>
      <c r="K62" s="109"/>
      <c r="L62" s="34"/>
      <c r="M62" s="7"/>
      <c r="N62" s="7"/>
      <c r="O62" s="7"/>
    </row>
    <row r="63" spans="1:15">
      <c r="A63" s="2495"/>
      <c r="B63" s="2495"/>
      <c r="C63" s="110">
        <v>2015</v>
      </c>
      <c r="D63" s="111">
        <v>4</v>
      </c>
      <c r="E63" s="112">
        <v>1</v>
      </c>
      <c r="F63" s="38"/>
      <c r="G63" s="38"/>
      <c r="H63" s="38"/>
      <c r="I63" s="38"/>
      <c r="J63" s="38"/>
      <c r="K63" s="38"/>
      <c r="L63" s="88">
        <v>3</v>
      </c>
      <c r="M63" s="7"/>
      <c r="N63" s="7"/>
      <c r="O63" s="7"/>
    </row>
    <row r="64" spans="1:15">
      <c r="A64" s="2495"/>
      <c r="B64" s="2495"/>
      <c r="C64" s="110">
        <v>2016</v>
      </c>
      <c r="D64" s="111">
        <v>0</v>
      </c>
      <c r="E64" s="112"/>
      <c r="F64" s="38"/>
      <c r="G64" s="38"/>
      <c r="H64" s="38"/>
      <c r="I64" s="38"/>
      <c r="J64" s="38"/>
      <c r="K64" s="38"/>
      <c r="L64" s="88"/>
      <c r="M64" s="7"/>
      <c r="N64" s="7"/>
      <c r="O64" s="7"/>
    </row>
    <row r="65" spans="1:20">
      <c r="A65" s="2495"/>
      <c r="B65" s="2495"/>
      <c r="C65" s="110">
        <v>2017</v>
      </c>
      <c r="D65" s="111">
        <v>0</v>
      </c>
      <c r="E65" s="112"/>
      <c r="F65" s="38"/>
      <c r="G65" s="38"/>
      <c r="H65" s="38"/>
      <c r="I65" s="38"/>
      <c r="J65" s="38"/>
      <c r="K65" s="38"/>
      <c r="L65" s="88"/>
      <c r="M65" s="7"/>
      <c r="N65" s="7"/>
      <c r="O65" s="7"/>
    </row>
    <row r="66" spans="1:20">
      <c r="A66" s="2495"/>
      <c r="B66" s="2495"/>
      <c r="C66" s="110">
        <v>2018</v>
      </c>
      <c r="D66" s="111"/>
      <c r="E66" s="112"/>
      <c r="F66" s="38"/>
      <c r="G66" s="38"/>
      <c r="H66" s="38"/>
      <c r="I66" s="38"/>
      <c r="J66" s="38"/>
      <c r="K66" s="38"/>
      <c r="L66" s="88"/>
      <c r="M66" s="7"/>
      <c r="N66" s="7"/>
      <c r="O66" s="7"/>
    </row>
    <row r="67" spans="1:20" ht="17.25" customHeight="1">
      <c r="A67" s="2495"/>
      <c r="B67" s="2495"/>
      <c r="C67" s="110">
        <v>2019</v>
      </c>
      <c r="D67" s="111"/>
      <c r="E67" s="112"/>
      <c r="F67" s="38"/>
      <c r="G67" s="38"/>
      <c r="H67" s="38"/>
      <c r="I67" s="38"/>
      <c r="J67" s="38"/>
      <c r="K67" s="38"/>
      <c r="L67" s="88"/>
      <c r="M67" s="7"/>
      <c r="N67" s="7"/>
      <c r="O67" s="7"/>
    </row>
    <row r="68" spans="1:20" ht="16.5" customHeight="1">
      <c r="A68" s="2495"/>
      <c r="B68" s="2495"/>
      <c r="C68" s="110">
        <v>2020</v>
      </c>
      <c r="D68" s="111"/>
      <c r="E68" s="112"/>
      <c r="F68" s="38"/>
      <c r="G68" s="38"/>
      <c r="H68" s="38"/>
      <c r="I68" s="38"/>
      <c r="J68" s="38"/>
      <c r="K68" s="38"/>
      <c r="L68" s="88"/>
      <c r="M68" s="78"/>
      <c r="N68" s="78"/>
      <c r="O68" s="78"/>
    </row>
    <row r="69" spans="1:20" ht="18" customHeight="1" thickBot="1">
      <c r="A69" s="2496"/>
      <c r="B69" s="2496"/>
      <c r="C69" s="113" t="s">
        <v>13</v>
      </c>
      <c r="D69" s="114">
        <f>SUM(D62:D68)</f>
        <v>4</v>
      </c>
      <c r="E69" s="115">
        <f>SUM(E62:E68)</f>
        <v>1</v>
      </c>
      <c r="F69" s="116">
        <f t="shared" ref="F69:I69" si="4">SUM(F62:F68)</f>
        <v>0</v>
      </c>
      <c r="G69" s="116">
        <f t="shared" si="4"/>
        <v>0</v>
      </c>
      <c r="H69" s="116">
        <f t="shared" si="4"/>
        <v>0</v>
      </c>
      <c r="I69" s="116">
        <f t="shared" si="4"/>
        <v>0</v>
      </c>
      <c r="J69" s="116"/>
      <c r="K69" s="116">
        <f>SUM(K62:K68)</f>
        <v>0</v>
      </c>
      <c r="L69" s="117">
        <f>SUM(L62:L68)</f>
        <v>3</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1840" t="s">
        <v>47</v>
      </c>
      <c r="B71" s="1816" t="s">
        <v>171</v>
      </c>
      <c r="C71" s="68" t="s">
        <v>9</v>
      </c>
      <c r="D71" s="123" t="s">
        <v>49</v>
      </c>
      <c r="E71" s="123" t="s">
        <v>50</v>
      </c>
      <c r="F71" s="124" t="s">
        <v>51</v>
      </c>
      <c r="G71" s="1754" t="s">
        <v>52</v>
      </c>
      <c r="H71" s="126" t="s">
        <v>14</v>
      </c>
      <c r="I71" s="127" t="s">
        <v>15</v>
      </c>
      <c r="J71" s="128" t="s">
        <v>16</v>
      </c>
      <c r="K71" s="127" t="s">
        <v>17</v>
      </c>
      <c r="L71" s="127" t="s">
        <v>18</v>
      </c>
      <c r="M71" s="129" t="s">
        <v>19</v>
      </c>
      <c r="N71" s="128" t="s">
        <v>20</v>
      </c>
      <c r="O71" s="130" t="s">
        <v>21</v>
      </c>
    </row>
    <row r="72" spans="1:20" ht="15" customHeight="1">
      <c r="A72" s="2495" t="s">
        <v>588</v>
      </c>
      <c r="B72" s="2495"/>
      <c r="C72" s="72">
        <v>2014</v>
      </c>
      <c r="D72" s="131"/>
      <c r="E72" s="131"/>
      <c r="F72" s="131"/>
      <c r="G72" s="132">
        <f>SUM(D72:F72)</f>
        <v>0</v>
      </c>
      <c r="H72" s="30"/>
      <c r="I72" s="133"/>
      <c r="J72" s="109"/>
      <c r="K72" s="109"/>
      <c r="L72" s="109"/>
      <c r="M72" s="109"/>
      <c r="N72" s="109"/>
      <c r="O72" s="134"/>
    </row>
    <row r="73" spans="1:20">
      <c r="A73" s="2495"/>
      <c r="B73" s="2495"/>
      <c r="C73" s="73">
        <v>2015</v>
      </c>
      <c r="D73" s="135"/>
      <c r="E73" s="135"/>
      <c r="F73" s="135">
        <v>2</v>
      </c>
      <c r="G73" s="132">
        <f t="shared" ref="G73:G78" si="5">SUM(D73:F73)</f>
        <v>2</v>
      </c>
      <c r="H73" s="37"/>
      <c r="I73" s="37"/>
      <c r="J73" s="38"/>
      <c r="K73" s="38"/>
      <c r="L73" s="38"/>
      <c r="M73" s="38"/>
      <c r="N73" s="38"/>
      <c r="O73" s="88">
        <v>2</v>
      </c>
    </row>
    <row r="74" spans="1:20">
      <c r="A74" s="2495"/>
      <c r="B74" s="2495"/>
      <c r="C74" s="73">
        <v>2016</v>
      </c>
      <c r="D74" s="135">
        <v>0</v>
      </c>
      <c r="E74" s="135"/>
      <c r="F74" s="135"/>
      <c r="G74" s="132">
        <f t="shared" si="5"/>
        <v>0</v>
      </c>
      <c r="H74" s="37"/>
      <c r="I74" s="37"/>
      <c r="J74" s="38"/>
      <c r="K74" s="38"/>
      <c r="L74" s="38"/>
      <c r="M74" s="38"/>
      <c r="N74" s="38"/>
      <c r="O74" s="88"/>
    </row>
    <row r="75" spans="1:20">
      <c r="A75" s="2495"/>
      <c r="B75" s="2495"/>
      <c r="C75" s="73">
        <v>2017</v>
      </c>
      <c r="D75" s="135">
        <v>0</v>
      </c>
      <c r="E75" s="135"/>
      <c r="F75" s="135"/>
      <c r="G75" s="132">
        <f t="shared" si="5"/>
        <v>0</v>
      </c>
      <c r="H75" s="37"/>
      <c r="I75" s="37"/>
      <c r="J75" s="38"/>
      <c r="K75" s="38"/>
      <c r="L75" s="38"/>
      <c r="M75" s="38"/>
      <c r="N75" s="38"/>
      <c r="O75" s="88"/>
    </row>
    <row r="76" spans="1:20">
      <c r="A76" s="2495"/>
      <c r="B76" s="2495"/>
      <c r="C76" s="73">
        <v>2018</v>
      </c>
      <c r="D76" s="135"/>
      <c r="E76" s="135"/>
      <c r="F76" s="135"/>
      <c r="G76" s="132">
        <f t="shared" si="5"/>
        <v>0</v>
      </c>
      <c r="H76" s="37"/>
      <c r="I76" s="37"/>
      <c r="J76" s="38"/>
      <c r="K76" s="38"/>
      <c r="L76" s="38"/>
      <c r="M76" s="38"/>
      <c r="N76" s="38"/>
      <c r="O76" s="88"/>
    </row>
    <row r="77" spans="1:20" ht="15.75" customHeight="1">
      <c r="A77" s="2495"/>
      <c r="B77" s="2495"/>
      <c r="C77" s="73">
        <v>2019</v>
      </c>
      <c r="D77" s="135"/>
      <c r="E77" s="135"/>
      <c r="F77" s="135"/>
      <c r="G77" s="132">
        <f t="shared" si="5"/>
        <v>0</v>
      </c>
      <c r="H77" s="37"/>
      <c r="I77" s="37"/>
      <c r="J77" s="38"/>
      <c r="K77" s="38"/>
      <c r="L77" s="38"/>
      <c r="M77" s="38"/>
      <c r="N77" s="38"/>
      <c r="O77" s="88"/>
    </row>
    <row r="78" spans="1:20" ht="17.25" customHeight="1">
      <c r="A78" s="2495"/>
      <c r="B78" s="2495"/>
      <c r="C78" s="73">
        <v>2020</v>
      </c>
      <c r="D78" s="135"/>
      <c r="E78" s="135"/>
      <c r="F78" s="135"/>
      <c r="G78" s="132">
        <f t="shared" si="5"/>
        <v>0</v>
      </c>
      <c r="H78" s="37"/>
      <c r="I78" s="37"/>
      <c r="J78" s="38"/>
      <c r="K78" s="38"/>
      <c r="L78" s="38"/>
      <c r="M78" s="38"/>
      <c r="N78" s="38"/>
      <c r="O78" s="88"/>
    </row>
    <row r="79" spans="1:20" ht="20.25" customHeight="1" thickBot="1">
      <c r="A79" s="2496"/>
      <c r="B79" s="2496"/>
      <c r="C79" s="136" t="s">
        <v>13</v>
      </c>
      <c r="D79" s="114">
        <f>SUM(D72:D78)</f>
        <v>0</v>
      </c>
      <c r="E79" s="114">
        <f>SUM(E72:E78)</f>
        <v>0</v>
      </c>
      <c r="F79" s="114">
        <f>SUM(F72:F78)</f>
        <v>2</v>
      </c>
      <c r="G79" s="137">
        <f>SUM(G72:G78)</f>
        <v>2</v>
      </c>
      <c r="H79" s="138">
        <v>0</v>
      </c>
      <c r="I79" s="139">
        <f t="shared" ref="I79:O79" si="6">SUM(I72:I78)</f>
        <v>0</v>
      </c>
      <c r="J79" s="116">
        <f t="shared" si="6"/>
        <v>0</v>
      </c>
      <c r="K79" s="116">
        <f t="shared" si="6"/>
        <v>0</v>
      </c>
      <c r="L79" s="116">
        <f t="shared" si="6"/>
        <v>0</v>
      </c>
      <c r="M79" s="116">
        <f t="shared" si="6"/>
        <v>0</v>
      </c>
      <c r="N79" s="116">
        <f t="shared" si="6"/>
        <v>0</v>
      </c>
      <c r="O79" s="117">
        <f t="shared" si="6"/>
        <v>2</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1841" t="s">
        <v>56</v>
      </c>
      <c r="B84" s="1821" t="s">
        <v>178</v>
      </c>
      <c r="C84" s="149" t="s">
        <v>9</v>
      </c>
      <c r="D84" s="1755" t="s">
        <v>58</v>
      </c>
      <c r="E84" s="151" t="s">
        <v>59</v>
      </c>
      <c r="F84" s="152" t="s">
        <v>60</v>
      </c>
      <c r="G84" s="152" t="s">
        <v>61</v>
      </c>
      <c r="H84" s="152" t="s">
        <v>62</v>
      </c>
      <c r="I84" s="152" t="s">
        <v>63</v>
      </c>
      <c r="J84" s="152" t="s">
        <v>64</v>
      </c>
      <c r="K84" s="153" t="s">
        <v>65</v>
      </c>
    </row>
    <row r="85" spans="1:16" ht="15" customHeight="1">
      <c r="A85" s="2416" t="s">
        <v>589</v>
      </c>
      <c r="B85" s="1899"/>
      <c r="C85" s="72">
        <v>2014</v>
      </c>
      <c r="D85" s="154"/>
      <c r="E85" s="155"/>
      <c r="F85" s="31"/>
      <c r="G85" s="31"/>
      <c r="H85" s="31"/>
      <c r="I85" s="31"/>
      <c r="J85" s="31"/>
      <c r="K85" s="34"/>
    </row>
    <row r="86" spans="1:16">
      <c r="A86" s="2416"/>
      <c r="B86" s="1899"/>
      <c r="C86" s="73">
        <v>2015</v>
      </c>
      <c r="D86" s="156"/>
      <c r="E86" s="112"/>
      <c r="F86" s="38"/>
      <c r="G86" s="38"/>
      <c r="H86" s="38"/>
      <c r="I86" s="38"/>
      <c r="J86" s="38"/>
      <c r="K86" s="88"/>
    </row>
    <row r="87" spans="1:16">
      <c r="A87" s="2416"/>
      <c r="B87" s="1899"/>
      <c r="C87" s="73">
        <v>2016</v>
      </c>
      <c r="D87" s="156"/>
      <c r="E87" s="112"/>
      <c r="F87" s="38"/>
      <c r="G87" s="38"/>
      <c r="H87" s="38"/>
      <c r="I87" s="38"/>
      <c r="J87" s="38"/>
      <c r="K87" s="88"/>
    </row>
    <row r="88" spans="1:16">
      <c r="A88" s="2416"/>
      <c r="B88" s="1899"/>
      <c r="C88" s="73">
        <v>2017</v>
      </c>
      <c r="D88" s="156">
        <v>45</v>
      </c>
      <c r="E88" s="112">
        <v>1</v>
      </c>
      <c r="F88" s="38">
        <v>2</v>
      </c>
      <c r="G88" s="38">
        <v>1</v>
      </c>
      <c r="H88" s="38">
        <v>21</v>
      </c>
      <c r="I88" s="38">
        <v>20</v>
      </c>
      <c r="J88" s="38"/>
      <c r="K88" s="88"/>
    </row>
    <row r="89" spans="1:16">
      <c r="A89" s="2416"/>
      <c r="B89" s="1899"/>
      <c r="C89" s="73">
        <v>2018</v>
      </c>
      <c r="D89" s="156"/>
      <c r="E89" s="112"/>
      <c r="F89" s="38"/>
      <c r="G89" s="38"/>
      <c r="H89" s="38"/>
      <c r="I89" s="38"/>
      <c r="J89" s="38"/>
      <c r="K89" s="88"/>
    </row>
    <row r="90" spans="1:16">
      <c r="A90" s="2416"/>
      <c r="B90" s="1899"/>
      <c r="C90" s="73">
        <v>2019</v>
      </c>
      <c r="D90" s="156"/>
      <c r="E90" s="112"/>
      <c r="F90" s="38"/>
      <c r="G90" s="38"/>
      <c r="H90" s="38"/>
      <c r="I90" s="38"/>
      <c r="J90" s="38"/>
      <c r="K90" s="88"/>
    </row>
    <row r="91" spans="1:16">
      <c r="A91" s="2416"/>
      <c r="B91" s="1899"/>
      <c r="C91" s="73">
        <v>2020</v>
      </c>
      <c r="D91" s="156"/>
      <c r="E91" s="112"/>
      <c r="F91" s="38"/>
      <c r="G91" s="38"/>
      <c r="H91" s="38"/>
      <c r="I91" s="38"/>
      <c r="J91" s="38"/>
      <c r="K91" s="88"/>
    </row>
    <row r="92" spans="1:16" ht="18" customHeight="1" thickBot="1">
      <c r="A92" s="1940"/>
      <c r="B92" s="1900"/>
      <c r="C92" s="136" t="s">
        <v>13</v>
      </c>
      <c r="D92" s="157">
        <f t="shared" ref="D92:I92" si="7">SUM(D85:D91)</f>
        <v>45</v>
      </c>
      <c r="E92" s="115">
        <f t="shared" si="7"/>
        <v>1</v>
      </c>
      <c r="F92" s="116">
        <f t="shared" si="7"/>
        <v>2</v>
      </c>
      <c r="G92" s="116">
        <f t="shared" si="7"/>
        <v>1</v>
      </c>
      <c r="H92" s="116">
        <f t="shared" si="7"/>
        <v>21</v>
      </c>
      <c r="I92" s="116">
        <f t="shared" si="7"/>
        <v>20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497" t="s">
        <v>68</v>
      </c>
      <c r="B96" s="2481" t="s">
        <v>179</v>
      </c>
      <c r="C96" s="2482" t="s">
        <v>9</v>
      </c>
      <c r="D96" s="2411" t="s">
        <v>70</v>
      </c>
      <c r="E96" s="2412"/>
      <c r="F96" s="1756" t="s">
        <v>71</v>
      </c>
      <c r="G96" s="1822"/>
      <c r="H96" s="1822"/>
      <c r="I96" s="1822"/>
      <c r="J96" s="1822"/>
      <c r="K96" s="1822"/>
      <c r="L96" s="1822"/>
      <c r="M96" s="1823"/>
      <c r="N96" s="165"/>
      <c r="O96" s="165"/>
      <c r="P96" s="165"/>
    </row>
    <row r="97" spans="1:16" ht="100.5" customHeight="1">
      <c r="A97" s="2406"/>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2399" t="s">
        <v>590</v>
      </c>
      <c r="B98" s="1899"/>
      <c r="C98" s="106">
        <v>2014</v>
      </c>
      <c r="D98" s="30"/>
      <c r="E98" s="31"/>
      <c r="F98" s="174"/>
      <c r="G98" s="175"/>
      <c r="H98" s="175"/>
      <c r="I98" s="175"/>
      <c r="J98" s="175"/>
      <c r="K98" s="175"/>
      <c r="L98" s="175"/>
      <c r="M98" s="176"/>
      <c r="N98" s="165"/>
      <c r="O98" s="165"/>
      <c r="P98" s="165"/>
    </row>
    <row r="99" spans="1:16" ht="16.5" customHeight="1">
      <c r="A99" s="2395"/>
      <c r="B99" s="1899"/>
      <c r="C99" s="110">
        <v>2015</v>
      </c>
      <c r="D99" s="90">
        <v>5</v>
      </c>
      <c r="E99" s="91">
        <v>2</v>
      </c>
      <c r="F99" s="177">
        <v>1</v>
      </c>
      <c r="G99" s="178"/>
      <c r="H99" s="178"/>
      <c r="I99" s="178">
        <v>1</v>
      </c>
      <c r="J99" s="178">
        <v>1</v>
      </c>
      <c r="K99" s="178"/>
      <c r="L99" s="178"/>
      <c r="M99" s="179">
        <v>2</v>
      </c>
      <c r="N99" s="165"/>
      <c r="O99" s="165"/>
      <c r="P99" s="165"/>
    </row>
    <row r="100" spans="1:16" ht="16.5" customHeight="1">
      <c r="A100" s="2395"/>
      <c r="B100" s="1899"/>
      <c r="C100" s="110">
        <v>2016</v>
      </c>
      <c r="D100" s="37">
        <v>4</v>
      </c>
      <c r="E100" s="38">
        <v>16</v>
      </c>
      <c r="F100" s="177">
        <v>1</v>
      </c>
      <c r="G100" s="178"/>
      <c r="H100" s="178"/>
      <c r="I100" s="178">
        <v>1</v>
      </c>
      <c r="J100" s="178">
        <v>1</v>
      </c>
      <c r="K100" s="178"/>
      <c r="L100" s="178"/>
      <c r="M100" s="179">
        <v>1</v>
      </c>
      <c r="N100" s="165"/>
      <c r="O100" s="165"/>
      <c r="P100" s="165"/>
    </row>
    <row r="101" spans="1:16" ht="16.5" customHeight="1">
      <c r="A101" s="2395"/>
      <c r="B101" s="1899"/>
      <c r="C101" s="110">
        <v>2017</v>
      </c>
      <c r="D101" s="37">
        <v>4</v>
      </c>
      <c r="E101" s="38">
        <v>14</v>
      </c>
      <c r="F101" s="177">
        <v>1</v>
      </c>
      <c r="G101" s="178"/>
      <c r="H101" s="178"/>
      <c r="I101" s="178"/>
      <c r="J101" s="178">
        <v>1</v>
      </c>
      <c r="K101" s="178"/>
      <c r="L101" s="178"/>
      <c r="M101" s="179">
        <v>1</v>
      </c>
      <c r="N101" s="165"/>
      <c r="O101" s="165"/>
      <c r="P101" s="165"/>
    </row>
    <row r="102" spans="1:16" ht="15.75" customHeight="1">
      <c r="A102" s="2395"/>
      <c r="B102" s="1899"/>
      <c r="C102" s="110">
        <v>2018</v>
      </c>
      <c r="D102" s="37"/>
      <c r="E102" s="38"/>
      <c r="F102" s="177"/>
      <c r="G102" s="178"/>
      <c r="H102" s="178"/>
      <c r="I102" s="178"/>
      <c r="J102" s="178"/>
      <c r="K102" s="178"/>
      <c r="L102" s="178"/>
      <c r="M102" s="179"/>
      <c r="N102" s="165"/>
      <c r="O102" s="165"/>
      <c r="P102" s="165"/>
    </row>
    <row r="103" spans="1:16" ht="14.25" customHeight="1">
      <c r="A103" s="2395"/>
      <c r="B103" s="1899"/>
      <c r="C103" s="110">
        <v>2019</v>
      </c>
      <c r="D103" s="37"/>
      <c r="E103" s="38"/>
      <c r="F103" s="177"/>
      <c r="G103" s="178"/>
      <c r="H103" s="178"/>
      <c r="I103" s="178"/>
      <c r="J103" s="178"/>
      <c r="K103" s="178"/>
      <c r="L103" s="178"/>
      <c r="M103" s="179"/>
      <c r="N103" s="165"/>
      <c r="O103" s="165"/>
      <c r="P103" s="165"/>
    </row>
    <row r="104" spans="1:16" ht="14.25" customHeight="1">
      <c r="A104" s="2395"/>
      <c r="B104" s="1899"/>
      <c r="C104" s="110">
        <v>2020</v>
      </c>
      <c r="D104" s="37"/>
      <c r="E104" s="38"/>
      <c r="F104" s="177"/>
      <c r="G104" s="178"/>
      <c r="H104" s="178"/>
      <c r="I104" s="178"/>
      <c r="J104" s="178"/>
      <c r="K104" s="178"/>
      <c r="L104" s="178"/>
      <c r="M104" s="179"/>
      <c r="N104" s="165"/>
      <c r="O104" s="165"/>
      <c r="P104" s="165"/>
    </row>
    <row r="105" spans="1:16" ht="19.5" customHeight="1" thickBot="1">
      <c r="A105" s="1915"/>
      <c r="B105" s="1900"/>
      <c r="C105" s="113" t="s">
        <v>13</v>
      </c>
      <c r="D105" s="139">
        <f>SUM(D98:D104)</f>
        <v>13</v>
      </c>
      <c r="E105" s="116">
        <f t="shared" ref="E105:K105" si="8">SUM(E98:E104)</f>
        <v>32</v>
      </c>
      <c r="F105" s="180">
        <f t="shared" si="8"/>
        <v>3</v>
      </c>
      <c r="G105" s="181">
        <f t="shared" si="8"/>
        <v>0</v>
      </c>
      <c r="H105" s="181">
        <f t="shared" si="8"/>
        <v>0</v>
      </c>
      <c r="I105" s="181">
        <f>SUM(I98:I104)</f>
        <v>2</v>
      </c>
      <c r="J105" s="181">
        <f t="shared" si="8"/>
        <v>3</v>
      </c>
      <c r="K105" s="181">
        <f t="shared" si="8"/>
        <v>0</v>
      </c>
      <c r="L105" s="181">
        <f>SUM(L98:L104)</f>
        <v>0</v>
      </c>
      <c r="M105" s="182">
        <f>SUM(M98:M104)</f>
        <v>4</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497" t="s">
        <v>77</v>
      </c>
      <c r="B107" s="2481" t="s">
        <v>179</v>
      </c>
      <c r="C107" s="2482" t="s">
        <v>9</v>
      </c>
      <c r="D107" s="2414" t="s">
        <v>78</v>
      </c>
      <c r="E107" s="1756" t="s">
        <v>79</v>
      </c>
      <c r="F107" s="1822"/>
      <c r="G107" s="1822"/>
      <c r="H107" s="1822"/>
      <c r="I107" s="1822"/>
      <c r="J107" s="1822"/>
      <c r="K107" s="1822"/>
      <c r="L107" s="1823"/>
      <c r="M107" s="185"/>
      <c r="N107" s="185"/>
    </row>
    <row r="108" spans="1:16" ht="103.5" customHeight="1">
      <c r="A108" s="2406"/>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2498" t="s">
        <v>591</v>
      </c>
      <c r="B109" s="2092"/>
      <c r="C109" s="106">
        <v>2014</v>
      </c>
      <c r="D109" s="31"/>
      <c r="E109" s="174"/>
      <c r="F109" s="175"/>
      <c r="G109" s="175"/>
      <c r="H109" s="175"/>
      <c r="I109" s="175"/>
      <c r="J109" s="175"/>
      <c r="K109" s="175"/>
      <c r="L109" s="176"/>
      <c r="M109" s="185"/>
      <c r="N109" s="185"/>
    </row>
    <row r="110" spans="1:16">
      <c r="A110" s="2498"/>
      <c r="B110" s="2092"/>
      <c r="C110" s="110">
        <v>2015</v>
      </c>
      <c r="D110" s="38">
        <v>1</v>
      </c>
      <c r="E110" s="177"/>
      <c r="F110" s="178"/>
      <c r="G110" s="178"/>
      <c r="H110" s="178"/>
      <c r="I110" s="178"/>
      <c r="J110" s="178"/>
      <c r="K110" s="178"/>
      <c r="L110" s="179">
        <v>1</v>
      </c>
      <c r="M110" s="185"/>
      <c r="N110" s="185"/>
    </row>
    <row r="111" spans="1:16">
      <c r="A111" s="2498"/>
      <c r="B111" s="2092"/>
      <c r="C111" s="110">
        <v>2016</v>
      </c>
      <c r="D111" s="38">
        <v>1</v>
      </c>
      <c r="E111" s="177"/>
      <c r="F111" s="178"/>
      <c r="G111" s="178"/>
      <c r="H111" s="178"/>
      <c r="I111" s="178">
        <v>1</v>
      </c>
      <c r="J111" s="178"/>
      <c r="K111" s="178"/>
      <c r="L111" s="179"/>
      <c r="M111" s="185"/>
      <c r="N111" s="185"/>
    </row>
    <row r="112" spans="1:16">
      <c r="A112" s="2498"/>
      <c r="B112" s="2092"/>
      <c r="C112" s="110">
        <v>2017</v>
      </c>
      <c r="D112" s="38">
        <v>2</v>
      </c>
      <c r="E112" s="177"/>
      <c r="F112" s="178"/>
      <c r="G112" s="178"/>
      <c r="H112" s="178"/>
      <c r="I112" s="178">
        <v>1</v>
      </c>
      <c r="J112" s="178"/>
      <c r="K112" s="178"/>
      <c r="L112" s="179">
        <v>1</v>
      </c>
      <c r="M112" s="185"/>
      <c r="N112" s="185"/>
    </row>
    <row r="113" spans="1:14">
      <c r="A113" s="2498"/>
      <c r="B113" s="2092"/>
      <c r="C113" s="110">
        <v>2018</v>
      </c>
      <c r="D113" s="38"/>
      <c r="E113" s="177"/>
      <c r="F113" s="178"/>
      <c r="G113" s="178"/>
      <c r="H113" s="178"/>
      <c r="I113" s="178"/>
      <c r="J113" s="178"/>
      <c r="K113" s="178"/>
      <c r="L113" s="179"/>
      <c r="M113" s="185"/>
      <c r="N113" s="185"/>
    </row>
    <row r="114" spans="1:14">
      <c r="A114" s="2498"/>
      <c r="B114" s="2092"/>
      <c r="C114" s="110">
        <v>2019</v>
      </c>
      <c r="D114" s="38"/>
      <c r="E114" s="177"/>
      <c r="F114" s="178"/>
      <c r="G114" s="178"/>
      <c r="H114" s="178"/>
      <c r="I114" s="178"/>
      <c r="J114" s="178"/>
      <c r="K114" s="178"/>
      <c r="L114" s="179"/>
      <c r="M114" s="185"/>
      <c r="N114" s="185"/>
    </row>
    <row r="115" spans="1:14">
      <c r="A115" s="2498"/>
      <c r="B115" s="2092"/>
      <c r="C115" s="110">
        <v>2020</v>
      </c>
      <c r="D115" s="38"/>
      <c r="E115" s="177"/>
      <c r="F115" s="178"/>
      <c r="G115" s="178"/>
      <c r="H115" s="178"/>
      <c r="I115" s="178"/>
      <c r="J115" s="178"/>
      <c r="K115" s="178"/>
      <c r="L115" s="179"/>
      <c r="M115" s="185"/>
      <c r="N115" s="185"/>
    </row>
    <row r="116" spans="1:14" ht="25.5" customHeight="1" thickBot="1">
      <c r="A116" s="2499"/>
      <c r="B116" s="2093"/>
      <c r="C116" s="113" t="s">
        <v>13</v>
      </c>
      <c r="D116" s="116">
        <f t="shared" ref="D116:I116" si="9">SUM(D109:D115)</f>
        <v>4</v>
      </c>
      <c r="E116" s="180">
        <f t="shared" si="9"/>
        <v>0</v>
      </c>
      <c r="F116" s="181">
        <f t="shared" si="9"/>
        <v>0</v>
      </c>
      <c r="G116" s="181">
        <f t="shared" si="9"/>
        <v>0</v>
      </c>
      <c r="H116" s="181">
        <f t="shared" si="9"/>
        <v>0</v>
      </c>
      <c r="I116" s="181">
        <f t="shared" si="9"/>
        <v>2</v>
      </c>
      <c r="J116" s="181"/>
      <c r="K116" s="181">
        <f>SUM(K109:K115)</f>
        <v>0</v>
      </c>
      <c r="L116" s="182">
        <f>SUM(L109:L115)</f>
        <v>2</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497" t="s">
        <v>81</v>
      </c>
      <c r="B118" s="2481" t="s">
        <v>179</v>
      </c>
      <c r="C118" s="2482" t="s">
        <v>9</v>
      </c>
      <c r="D118" s="2414" t="s">
        <v>82</v>
      </c>
      <c r="E118" s="1756" t="s">
        <v>79</v>
      </c>
      <c r="F118" s="1822"/>
      <c r="G118" s="1822"/>
      <c r="H118" s="1822"/>
      <c r="I118" s="1822"/>
      <c r="J118" s="1822"/>
      <c r="K118" s="1822"/>
      <c r="L118" s="1823"/>
      <c r="M118" s="185"/>
      <c r="N118" s="185"/>
    </row>
    <row r="119" spans="1:14" ht="120.75" customHeight="1">
      <c r="A119" s="2406"/>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2399" t="s">
        <v>592</v>
      </c>
      <c r="B120" s="1899"/>
      <c r="C120" s="106">
        <v>2014</v>
      </c>
      <c r="D120" s="31"/>
      <c r="E120" s="174"/>
      <c r="F120" s="175"/>
      <c r="G120" s="175"/>
      <c r="H120" s="175"/>
      <c r="I120" s="175"/>
      <c r="J120" s="175"/>
      <c r="K120" s="175"/>
      <c r="L120" s="176"/>
      <c r="M120" s="185"/>
      <c r="N120" s="185"/>
    </row>
    <row r="121" spans="1:14">
      <c r="A121" s="2395"/>
      <c r="B121" s="1899"/>
      <c r="C121" s="110">
        <v>2015</v>
      </c>
      <c r="D121" s="38"/>
      <c r="E121" s="177"/>
      <c r="F121" s="178"/>
      <c r="G121" s="178"/>
      <c r="H121" s="178"/>
      <c r="I121" s="178"/>
      <c r="J121" s="178"/>
      <c r="K121" s="178"/>
      <c r="L121" s="179"/>
      <c r="M121" s="185"/>
      <c r="N121" s="185"/>
    </row>
    <row r="122" spans="1:14">
      <c r="A122" s="2395"/>
      <c r="B122" s="1899"/>
      <c r="C122" s="110">
        <v>2016</v>
      </c>
      <c r="D122" s="38">
        <v>2</v>
      </c>
      <c r="E122" s="177">
        <v>1</v>
      </c>
      <c r="F122" s="178"/>
      <c r="G122" s="178"/>
      <c r="H122" s="178"/>
      <c r="I122" s="178">
        <v>1</v>
      </c>
      <c r="J122" s="178"/>
      <c r="K122" s="178"/>
      <c r="L122" s="179"/>
      <c r="M122" s="185"/>
      <c r="N122" s="185"/>
    </row>
    <row r="123" spans="1:14">
      <c r="A123" s="2395"/>
      <c r="B123" s="1899"/>
      <c r="C123" s="110">
        <v>2017</v>
      </c>
      <c r="D123" s="38">
        <v>1</v>
      </c>
      <c r="E123" s="177"/>
      <c r="F123" s="178"/>
      <c r="G123" s="178"/>
      <c r="H123" s="178"/>
      <c r="I123" s="178">
        <v>1</v>
      </c>
      <c r="J123" s="178"/>
      <c r="K123" s="178"/>
      <c r="L123" s="179"/>
      <c r="M123" s="185"/>
      <c r="N123" s="185"/>
    </row>
    <row r="124" spans="1:14">
      <c r="A124" s="2395"/>
      <c r="B124" s="1899"/>
      <c r="C124" s="110">
        <v>2018</v>
      </c>
      <c r="D124" s="38"/>
      <c r="E124" s="177"/>
      <c r="F124" s="178"/>
      <c r="G124" s="178"/>
      <c r="H124" s="178"/>
      <c r="I124" s="178"/>
      <c r="J124" s="178"/>
      <c r="K124" s="178"/>
      <c r="L124" s="179"/>
      <c r="M124" s="185"/>
      <c r="N124" s="185"/>
    </row>
    <row r="125" spans="1:14">
      <c r="A125" s="2395"/>
      <c r="B125" s="1899"/>
      <c r="C125" s="110">
        <v>2019</v>
      </c>
      <c r="D125" s="38"/>
      <c r="E125" s="177"/>
      <c r="F125" s="178"/>
      <c r="G125" s="178"/>
      <c r="H125" s="178"/>
      <c r="I125" s="178"/>
      <c r="J125" s="178"/>
      <c r="K125" s="178"/>
      <c r="L125" s="179"/>
      <c r="M125" s="185"/>
      <c r="N125" s="185"/>
    </row>
    <row r="126" spans="1:14">
      <c r="A126" s="2395"/>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3</v>
      </c>
      <c r="E127" s="180">
        <f t="shared" si="10"/>
        <v>1</v>
      </c>
      <c r="F127" s="181">
        <f t="shared" si="10"/>
        <v>0</v>
      </c>
      <c r="G127" s="181">
        <f t="shared" si="10"/>
        <v>0</v>
      </c>
      <c r="H127" s="181">
        <f t="shared" si="10"/>
        <v>0</v>
      </c>
      <c r="I127" s="181">
        <f t="shared" si="10"/>
        <v>2</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497" t="s">
        <v>84</v>
      </c>
      <c r="B129" s="2481" t="s">
        <v>179</v>
      </c>
      <c r="C129" s="1824" t="s">
        <v>9</v>
      </c>
      <c r="D129" s="1758" t="s">
        <v>85</v>
      </c>
      <c r="E129" s="1825"/>
      <c r="F129" s="1825"/>
      <c r="G129" s="1759"/>
      <c r="H129" s="185"/>
      <c r="I129" s="185"/>
      <c r="J129" s="185"/>
      <c r="K129" s="185"/>
      <c r="L129" s="185"/>
      <c r="M129" s="185"/>
      <c r="N129" s="185"/>
    </row>
    <row r="130" spans="1:16" ht="77.25" customHeight="1">
      <c r="A130" s="2406"/>
      <c r="B130" s="1912"/>
      <c r="C130" s="1807"/>
      <c r="D130" s="166" t="s">
        <v>86</v>
      </c>
      <c r="E130" s="193" t="s">
        <v>87</v>
      </c>
      <c r="F130" s="167" t="s">
        <v>88</v>
      </c>
      <c r="G130" s="194" t="s">
        <v>13</v>
      </c>
      <c r="H130" s="185"/>
      <c r="I130" s="185"/>
      <c r="J130" s="185"/>
      <c r="K130" s="185"/>
      <c r="L130" s="185"/>
      <c r="M130" s="185"/>
      <c r="N130" s="185"/>
    </row>
    <row r="131" spans="1:16" ht="15" customHeight="1">
      <c r="A131" s="2408"/>
      <c r="B131" s="1855"/>
      <c r="C131" s="106">
        <v>2015</v>
      </c>
      <c r="D131" s="30">
        <v>103</v>
      </c>
      <c r="E131" s="31">
        <v>284</v>
      </c>
      <c r="F131" s="31"/>
      <c r="G131" s="195">
        <f t="shared" ref="G131:G136" si="11">SUM(D131:F131)</f>
        <v>387</v>
      </c>
      <c r="H131" s="185"/>
      <c r="I131" s="185"/>
      <c r="J131" s="185"/>
      <c r="K131" s="185"/>
      <c r="L131" s="185"/>
      <c r="M131" s="185"/>
      <c r="N131" s="185"/>
    </row>
    <row r="132" spans="1:16">
      <c r="A132" s="2378"/>
      <c r="B132" s="1855"/>
      <c r="C132" s="110">
        <v>2016</v>
      </c>
      <c r="D132" s="37">
        <v>190</v>
      </c>
      <c r="E132" s="38">
        <v>7</v>
      </c>
      <c r="F132" s="38">
        <v>85</v>
      </c>
      <c r="G132" s="195">
        <f t="shared" si="11"/>
        <v>282</v>
      </c>
      <c r="H132" s="185"/>
      <c r="I132" s="185"/>
      <c r="J132" s="185"/>
      <c r="K132" s="185"/>
      <c r="L132" s="185"/>
      <c r="M132" s="185"/>
      <c r="N132" s="185"/>
    </row>
    <row r="133" spans="1:16">
      <c r="A133" s="2378"/>
      <c r="B133" s="1855"/>
      <c r="C133" s="110">
        <v>2017</v>
      </c>
      <c r="D133" s="37">
        <v>146</v>
      </c>
      <c r="E133" s="38">
        <v>51</v>
      </c>
      <c r="F133" s="38">
        <v>537</v>
      </c>
      <c r="G133" s="195">
        <f t="shared" si="11"/>
        <v>734</v>
      </c>
      <c r="H133" s="185"/>
      <c r="I133" s="185"/>
      <c r="J133" s="185"/>
      <c r="K133" s="185"/>
      <c r="L133" s="185"/>
      <c r="M133" s="185"/>
      <c r="N133" s="185"/>
    </row>
    <row r="134" spans="1:16">
      <c r="A134" s="2378"/>
      <c r="B134" s="1855"/>
      <c r="C134" s="110">
        <v>2018</v>
      </c>
      <c r="D134" s="37"/>
      <c r="E134" s="38"/>
      <c r="F134" s="38"/>
      <c r="G134" s="195">
        <f t="shared" si="11"/>
        <v>0</v>
      </c>
      <c r="H134" s="185"/>
      <c r="I134" s="185"/>
      <c r="J134" s="185"/>
      <c r="K134" s="185"/>
      <c r="L134" s="185"/>
      <c r="M134" s="185"/>
      <c r="N134" s="185"/>
    </row>
    <row r="135" spans="1:16">
      <c r="A135" s="2378"/>
      <c r="B135" s="1855"/>
      <c r="C135" s="110">
        <v>2019</v>
      </c>
      <c r="D135" s="37"/>
      <c r="E135" s="38"/>
      <c r="F135" s="38"/>
      <c r="G135" s="195">
        <f t="shared" si="11"/>
        <v>0</v>
      </c>
      <c r="H135" s="185"/>
      <c r="I135" s="185"/>
      <c r="J135" s="185"/>
      <c r="K135" s="185"/>
      <c r="L135" s="185"/>
      <c r="M135" s="185"/>
      <c r="N135" s="185"/>
    </row>
    <row r="136" spans="1:16">
      <c r="A136" s="2378"/>
      <c r="B136" s="1855"/>
      <c r="C136" s="110">
        <v>2020</v>
      </c>
      <c r="D136" s="37"/>
      <c r="E136" s="38"/>
      <c r="F136" s="38"/>
      <c r="G136" s="195">
        <f t="shared" si="11"/>
        <v>0</v>
      </c>
      <c r="H136" s="185"/>
      <c r="I136" s="185"/>
      <c r="J136" s="185"/>
      <c r="K136" s="185"/>
      <c r="L136" s="185"/>
      <c r="M136" s="185"/>
      <c r="N136" s="185"/>
    </row>
    <row r="137" spans="1:16" ht="17.25" customHeight="1" thickBot="1">
      <c r="A137" s="1856"/>
      <c r="B137" s="1857"/>
      <c r="C137" s="113" t="s">
        <v>13</v>
      </c>
      <c r="D137" s="139">
        <f>SUM(D131:D136)</f>
        <v>439</v>
      </c>
      <c r="E137" s="139">
        <f t="shared" ref="E137:F137" si="12">SUM(E131:E136)</f>
        <v>342</v>
      </c>
      <c r="F137" s="139">
        <f t="shared" si="12"/>
        <v>622</v>
      </c>
      <c r="G137" s="196">
        <f>SUM(G131:G136)</f>
        <v>1403</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500" t="s">
        <v>91</v>
      </c>
      <c r="B142" s="2479" t="s">
        <v>179</v>
      </c>
      <c r="C142" s="2484" t="s">
        <v>9</v>
      </c>
      <c r="D142" s="1826" t="s">
        <v>92</v>
      </c>
      <c r="E142" s="1827"/>
      <c r="F142" s="1827"/>
      <c r="G142" s="1827"/>
      <c r="H142" s="1827"/>
      <c r="I142" s="1828"/>
      <c r="J142" s="2475" t="s">
        <v>93</v>
      </c>
      <c r="K142" s="2476"/>
      <c r="L142" s="2476"/>
      <c r="M142" s="2476"/>
      <c r="N142" s="2477"/>
      <c r="O142" s="165"/>
      <c r="P142" s="165"/>
    </row>
    <row r="143" spans="1:16" ht="113.25" customHeight="1">
      <c r="A143" s="2410"/>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2399"/>
      <c r="B144" s="1899"/>
      <c r="C144" s="106">
        <v>2014</v>
      </c>
      <c r="D144" s="30"/>
      <c r="E144" s="30"/>
      <c r="F144" s="31"/>
      <c r="G144" s="175"/>
      <c r="H144" s="175"/>
      <c r="I144" s="213">
        <f>D144+F144+G144+H144</f>
        <v>0</v>
      </c>
      <c r="J144" s="214"/>
      <c r="K144" s="215"/>
      <c r="L144" s="214"/>
      <c r="M144" s="215"/>
      <c r="N144" s="216"/>
      <c r="O144" s="165"/>
      <c r="P144" s="165"/>
    </row>
    <row r="145" spans="1:16" ht="19.5" customHeight="1">
      <c r="A145" s="2395"/>
      <c r="B145" s="1899"/>
      <c r="C145" s="110">
        <v>2015</v>
      </c>
      <c r="D145" s="37">
        <v>1</v>
      </c>
      <c r="E145" s="37"/>
      <c r="F145" s="38"/>
      <c r="G145" s="178"/>
      <c r="H145" s="178"/>
      <c r="I145" s="213">
        <f t="shared" ref="I145:I150" si="13">D145+F145+G145+H145</f>
        <v>1</v>
      </c>
      <c r="J145" s="217">
        <v>1</v>
      </c>
      <c r="K145" s="218"/>
      <c r="L145" s="217"/>
      <c r="M145" s="218"/>
      <c r="N145" s="219"/>
      <c r="O145" s="165"/>
      <c r="P145" s="165"/>
    </row>
    <row r="146" spans="1:16" ht="20.25" customHeight="1">
      <c r="A146" s="2395"/>
      <c r="B146" s="1899"/>
      <c r="C146" s="110">
        <v>2016</v>
      </c>
      <c r="D146" s="37">
        <v>4</v>
      </c>
      <c r="E146" s="37">
        <v>7</v>
      </c>
      <c r="F146" s="38">
        <v>4</v>
      </c>
      <c r="G146" s="178">
        <v>8</v>
      </c>
      <c r="H146" s="178"/>
      <c r="I146" s="213">
        <f t="shared" si="13"/>
        <v>16</v>
      </c>
      <c r="J146" s="217">
        <v>12</v>
      </c>
      <c r="K146" s="218">
        <v>3</v>
      </c>
      <c r="L146" s="217">
        <v>1</v>
      </c>
      <c r="M146" s="218"/>
      <c r="N146" s="219"/>
      <c r="O146" s="165"/>
      <c r="P146" s="165"/>
    </row>
    <row r="147" spans="1:16" ht="17.25" customHeight="1">
      <c r="A147" s="2395"/>
      <c r="B147" s="1899"/>
      <c r="C147" s="110">
        <v>2017</v>
      </c>
      <c r="D147" s="37">
        <v>3</v>
      </c>
      <c r="E147" s="37">
        <v>5</v>
      </c>
      <c r="F147" s="38">
        <v>3</v>
      </c>
      <c r="G147" s="178">
        <v>5</v>
      </c>
      <c r="H147" s="178"/>
      <c r="I147" s="213">
        <f t="shared" si="13"/>
        <v>11</v>
      </c>
      <c r="J147" s="217">
        <v>10</v>
      </c>
      <c r="K147" s="218">
        <v>3</v>
      </c>
      <c r="L147" s="217">
        <v>1</v>
      </c>
      <c r="M147" s="218">
        <v>1</v>
      </c>
      <c r="N147" s="219"/>
      <c r="O147" s="165"/>
      <c r="P147" s="165"/>
    </row>
    <row r="148" spans="1:16" ht="19.5" customHeight="1">
      <c r="A148" s="2395"/>
      <c r="B148" s="1899"/>
      <c r="C148" s="110">
        <v>2018</v>
      </c>
      <c r="D148" s="37"/>
      <c r="E148" s="37"/>
      <c r="F148" s="38"/>
      <c r="G148" s="178"/>
      <c r="H148" s="178"/>
      <c r="I148" s="213">
        <f t="shared" si="13"/>
        <v>0</v>
      </c>
      <c r="J148" s="217"/>
      <c r="K148" s="218"/>
      <c r="L148" s="217"/>
      <c r="M148" s="218"/>
      <c r="N148" s="219"/>
      <c r="O148" s="165"/>
      <c r="P148" s="165"/>
    </row>
    <row r="149" spans="1:16" ht="19.5" customHeight="1">
      <c r="A149" s="2395"/>
      <c r="B149" s="1899"/>
      <c r="C149" s="110">
        <v>2019</v>
      </c>
      <c r="D149" s="37"/>
      <c r="E149" s="37"/>
      <c r="F149" s="38"/>
      <c r="G149" s="178"/>
      <c r="H149" s="178"/>
      <c r="I149" s="213">
        <f t="shared" si="13"/>
        <v>0</v>
      </c>
      <c r="J149" s="217"/>
      <c r="K149" s="218"/>
      <c r="L149" s="217"/>
      <c r="M149" s="218"/>
      <c r="N149" s="219"/>
      <c r="O149" s="165"/>
      <c r="P149" s="165"/>
    </row>
    <row r="150" spans="1:16" ht="18.75" customHeight="1">
      <c r="A150" s="2395"/>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8</v>
      </c>
      <c r="E151" s="139">
        <f t="shared" ref="E151:I151" si="14">SUM(E144:E150)</f>
        <v>12</v>
      </c>
      <c r="F151" s="139">
        <f t="shared" si="14"/>
        <v>7</v>
      </c>
      <c r="G151" s="139">
        <f t="shared" si="14"/>
        <v>13</v>
      </c>
      <c r="H151" s="139">
        <f t="shared" si="14"/>
        <v>0</v>
      </c>
      <c r="I151" s="220">
        <f t="shared" si="14"/>
        <v>28</v>
      </c>
      <c r="J151" s="221">
        <f>SUM(J144:J150)</f>
        <v>23</v>
      </c>
      <c r="K151" s="222">
        <f>SUM(K144:K150)</f>
        <v>6</v>
      </c>
      <c r="L151" s="221">
        <f>SUM(L144:L150)</f>
        <v>2</v>
      </c>
      <c r="M151" s="222">
        <f>SUM(M144:M150)</f>
        <v>1</v>
      </c>
      <c r="N151" s="223">
        <f>SUM(N144:N150)</f>
        <v>0</v>
      </c>
      <c r="O151" s="165"/>
      <c r="P151" s="165"/>
    </row>
    <row r="152" spans="1:16" ht="27" customHeight="1" thickBot="1">
      <c r="B152" s="224"/>
      <c r="O152" s="165"/>
      <c r="P152" s="165"/>
    </row>
    <row r="153" spans="1:16" ht="35.25" customHeight="1">
      <c r="A153" s="2501" t="s">
        <v>105</v>
      </c>
      <c r="B153" s="2479" t="s">
        <v>179</v>
      </c>
      <c r="C153" s="2480" t="s">
        <v>9</v>
      </c>
      <c r="D153" s="1829" t="s">
        <v>106</v>
      </c>
      <c r="E153" s="1829"/>
      <c r="F153" s="1830"/>
      <c r="G153" s="1830"/>
      <c r="H153" s="1829" t="s">
        <v>107</v>
      </c>
      <c r="I153" s="1829"/>
      <c r="J153" s="1831"/>
      <c r="K153" s="56"/>
      <c r="L153" s="56"/>
      <c r="M153" s="56"/>
      <c r="N153" s="56"/>
      <c r="O153" s="165"/>
      <c r="P153" s="165"/>
    </row>
    <row r="154" spans="1:16" ht="49.5" customHeight="1">
      <c r="A154" s="2401"/>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2399" t="s">
        <v>593</v>
      </c>
      <c r="B155" s="1899"/>
      <c r="C155" s="233">
        <v>2014</v>
      </c>
      <c r="D155" s="214"/>
      <c r="E155" s="175"/>
      <c r="F155" s="215"/>
      <c r="G155" s="213">
        <f>SUM(D155:F155)</f>
        <v>0</v>
      </c>
      <c r="H155" s="214"/>
      <c r="I155" s="175"/>
      <c r="J155" s="176"/>
      <c r="O155" s="165"/>
      <c r="P155" s="165"/>
    </row>
    <row r="156" spans="1:16" ht="19.5" customHeight="1">
      <c r="A156" s="2395"/>
      <c r="B156" s="1899"/>
      <c r="C156" s="234">
        <v>2015</v>
      </c>
      <c r="D156" s="217"/>
      <c r="E156" s="178"/>
      <c r="F156" s="218"/>
      <c r="G156" s="213">
        <f t="shared" ref="G156:G161" si="15">SUM(D156:F156)</f>
        <v>0</v>
      </c>
      <c r="H156" s="217"/>
      <c r="I156" s="178"/>
      <c r="J156" s="179"/>
      <c r="O156" s="165"/>
      <c r="P156" s="165"/>
    </row>
    <row r="157" spans="1:16" ht="17.25" customHeight="1">
      <c r="A157" s="2395"/>
      <c r="B157" s="1899"/>
      <c r="C157" s="234">
        <v>2016</v>
      </c>
      <c r="D157" s="217">
        <v>2</v>
      </c>
      <c r="E157" s="178"/>
      <c r="F157" s="218"/>
      <c r="G157" s="213">
        <f t="shared" si="15"/>
        <v>2</v>
      </c>
      <c r="H157" s="217">
        <v>2</v>
      </c>
      <c r="I157" s="178"/>
      <c r="J157" s="179"/>
      <c r="O157" s="165"/>
      <c r="P157" s="165"/>
    </row>
    <row r="158" spans="1:16" ht="15" customHeight="1">
      <c r="A158" s="2395"/>
      <c r="B158" s="1899"/>
      <c r="C158" s="234">
        <v>2017</v>
      </c>
      <c r="D158" s="217">
        <v>1</v>
      </c>
      <c r="E158" s="178">
        <v>10</v>
      </c>
      <c r="F158" s="218">
        <v>6</v>
      </c>
      <c r="G158" s="213">
        <f t="shared" si="15"/>
        <v>17</v>
      </c>
      <c r="H158" s="217">
        <v>16</v>
      </c>
      <c r="I158" s="178">
        <v>1</v>
      </c>
      <c r="J158" s="179"/>
      <c r="O158" s="165"/>
      <c r="P158" s="165"/>
    </row>
    <row r="159" spans="1:16" ht="19.5" customHeight="1">
      <c r="A159" s="2395"/>
      <c r="B159" s="1899"/>
      <c r="C159" s="234">
        <v>2018</v>
      </c>
      <c r="D159" s="217"/>
      <c r="E159" s="178"/>
      <c r="F159" s="218"/>
      <c r="G159" s="213">
        <f t="shared" si="15"/>
        <v>0</v>
      </c>
      <c r="H159" s="217"/>
      <c r="I159" s="178"/>
      <c r="J159" s="179"/>
      <c r="O159" s="165"/>
      <c r="P159" s="165"/>
    </row>
    <row r="160" spans="1:16" ht="15" customHeight="1">
      <c r="A160" s="2395"/>
      <c r="B160" s="1899"/>
      <c r="C160" s="234">
        <v>2019</v>
      </c>
      <c r="D160" s="217"/>
      <c r="E160" s="178"/>
      <c r="F160" s="218"/>
      <c r="G160" s="213">
        <f t="shared" si="15"/>
        <v>0</v>
      </c>
      <c r="H160" s="217"/>
      <c r="I160" s="178"/>
      <c r="J160" s="179"/>
      <c r="O160" s="165"/>
      <c r="P160" s="165"/>
    </row>
    <row r="161" spans="1:18" ht="17.25" customHeight="1">
      <c r="A161" s="2395"/>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3</v>
      </c>
      <c r="E162" s="181">
        <f t="shared" si="16"/>
        <v>10</v>
      </c>
      <c r="F162" s="222">
        <f t="shared" si="16"/>
        <v>6</v>
      </c>
      <c r="G162" s="222">
        <f t="shared" si="16"/>
        <v>19</v>
      </c>
      <c r="H162" s="221">
        <f>SUM(H155:H161)</f>
        <v>18</v>
      </c>
      <c r="I162" s="181">
        <f>SUM(I155:I161)</f>
        <v>1</v>
      </c>
      <c r="J162" s="236">
        <f>SUM(J155:J161)</f>
        <v>0</v>
      </c>
    </row>
    <row r="163" spans="1:18" ht="24.75" customHeight="1" thickBot="1">
      <c r="A163" s="237"/>
      <c r="B163" s="238"/>
      <c r="C163" s="239"/>
      <c r="D163" s="165"/>
      <c r="E163" s="1832"/>
      <c r="F163" s="165"/>
      <c r="G163" s="165"/>
      <c r="H163" s="165"/>
      <c r="I163" s="165"/>
      <c r="J163" s="241"/>
      <c r="K163" s="242"/>
    </row>
    <row r="164" spans="1:18" ht="95.25" customHeight="1">
      <c r="A164" s="1760" t="s">
        <v>115</v>
      </c>
      <c r="B164" s="405" t="s">
        <v>181</v>
      </c>
      <c r="C164" s="1567" t="s">
        <v>9</v>
      </c>
      <c r="D164" s="246" t="s">
        <v>117</v>
      </c>
      <c r="E164" s="246" t="s">
        <v>118</v>
      </c>
      <c r="F164" s="1833" t="s">
        <v>119</v>
      </c>
      <c r="G164" s="246" t="s">
        <v>120</v>
      </c>
      <c r="H164" s="246" t="s">
        <v>121</v>
      </c>
      <c r="I164" s="248" t="s">
        <v>122</v>
      </c>
      <c r="J164" s="1761" t="s">
        <v>123</v>
      </c>
      <c r="K164" s="1761" t="s">
        <v>124</v>
      </c>
      <c r="L164" s="1721"/>
    </row>
    <row r="165" spans="1:18" ht="15.75" customHeight="1">
      <c r="A165" s="2081" t="s">
        <v>594</v>
      </c>
      <c r="B165" s="1977"/>
      <c r="C165" s="251">
        <v>2014</v>
      </c>
      <c r="D165" s="175"/>
      <c r="E165" s="175"/>
      <c r="F165" s="175"/>
      <c r="G165" s="175"/>
      <c r="H165" s="175"/>
      <c r="I165" s="176"/>
      <c r="J165" s="1683">
        <f>SUM(D165,F165,H165)</f>
        <v>0</v>
      </c>
      <c r="K165" s="253">
        <f>SUM(E165,G165,I165)</f>
        <v>0</v>
      </c>
      <c r="L165" s="1721"/>
    </row>
    <row r="166" spans="1:18">
      <c r="A166" s="2082"/>
      <c r="B166" s="1855"/>
      <c r="C166" s="254">
        <v>2015</v>
      </c>
      <c r="D166" s="255"/>
      <c r="E166" s="255"/>
      <c r="F166" s="255"/>
      <c r="G166" s="255"/>
      <c r="H166" s="255"/>
      <c r="I166" s="256"/>
      <c r="J166" s="1684">
        <f t="shared" ref="J166:K171" si="17">SUM(D166,F166,H166)</f>
        <v>0</v>
      </c>
      <c r="K166" s="408">
        <f t="shared" si="17"/>
        <v>0</v>
      </c>
      <c r="L166" s="1721"/>
    </row>
    <row r="167" spans="1:18">
      <c r="A167" s="2082"/>
      <c r="B167" s="1855"/>
      <c r="C167" s="254">
        <v>2016</v>
      </c>
      <c r="D167" s="255">
        <v>13</v>
      </c>
      <c r="E167" s="255">
        <v>15</v>
      </c>
      <c r="F167" s="255">
        <v>1</v>
      </c>
      <c r="G167" s="255">
        <v>3</v>
      </c>
      <c r="H167" s="255">
        <v>6</v>
      </c>
      <c r="I167" s="256">
        <v>5</v>
      </c>
      <c r="J167" s="1684">
        <f t="shared" si="17"/>
        <v>20</v>
      </c>
      <c r="K167" s="408">
        <f t="shared" si="17"/>
        <v>23</v>
      </c>
    </row>
    <row r="168" spans="1:18">
      <c r="A168" s="2082"/>
      <c r="B168" s="1855"/>
      <c r="C168" s="254">
        <v>2017</v>
      </c>
      <c r="D168" s="255">
        <v>9</v>
      </c>
      <c r="E168" s="165">
        <v>25</v>
      </c>
      <c r="F168" s="255"/>
      <c r="G168" s="255">
        <v>2</v>
      </c>
      <c r="H168" s="255"/>
      <c r="I168" s="256">
        <v>5</v>
      </c>
      <c r="J168" s="1684">
        <f t="shared" si="17"/>
        <v>9</v>
      </c>
      <c r="K168" s="408">
        <f t="shared" si="17"/>
        <v>32</v>
      </c>
    </row>
    <row r="169" spans="1:18">
      <c r="A169" s="2082"/>
      <c r="B169" s="1855"/>
      <c r="C169" s="262">
        <v>2018</v>
      </c>
      <c r="D169" s="255"/>
      <c r="E169" s="255"/>
      <c r="F169" s="255"/>
      <c r="G169" s="263"/>
      <c r="H169" s="255"/>
      <c r="I169" s="256"/>
      <c r="J169" s="1684">
        <f t="shared" si="17"/>
        <v>0</v>
      </c>
      <c r="K169" s="408">
        <f t="shared" si="17"/>
        <v>0</v>
      </c>
      <c r="L169" s="1721"/>
    </row>
    <row r="170" spans="1:18">
      <c r="A170" s="2082"/>
      <c r="B170" s="1855"/>
      <c r="C170" s="254">
        <v>2019</v>
      </c>
      <c r="D170" s="165"/>
      <c r="E170" s="255"/>
      <c r="F170" s="255"/>
      <c r="G170" s="255"/>
      <c r="H170" s="263"/>
      <c r="I170" s="256"/>
      <c r="J170" s="1684">
        <f t="shared" si="17"/>
        <v>0</v>
      </c>
      <c r="K170" s="408">
        <f t="shared" si="17"/>
        <v>0</v>
      </c>
      <c r="L170" s="1721"/>
    </row>
    <row r="171" spans="1:18">
      <c r="A171" s="2082"/>
      <c r="B171" s="1855"/>
      <c r="C171" s="262">
        <v>2020</v>
      </c>
      <c r="D171" s="255"/>
      <c r="E171" s="255"/>
      <c r="F171" s="255"/>
      <c r="G171" s="255"/>
      <c r="H171" s="255"/>
      <c r="I171" s="256"/>
      <c r="J171" s="1684">
        <f t="shared" si="17"/>
        <v>0</v>
      </c>
      <c r="K171" s="408">
        <f t="shared" si="17"/>
        <v>0</v>
      </c>
      <c r="L171" s="1721"/>
    </row>
    <row r="172" spans="1:18" ht="41.25" customHeight="1" thickBot="1">
      <c r="A172" s="2083"/>
      <c r="B172" s="1857"/>
      <c r="C172" s="265" t="s">
        <v>13</v>
      </c>
      <c r="D172" s="181">
        <f>SUM(D165:D171)</f>
        <v>22</v>
      </c>
      <c r="E172" s="181">
        <f t="shared" ref="E172:K172" si="18">SUM(E165:E171)</f>
        <v>40</v>
      </c>
      <c r="F172" s="181">
        <f t="shared" si="18"/>
        <v>1</v>
      </c>
      <c r="G172" s="181">
        <f t="shared" si="18"/>
        <v>5</v>
      </c>
      <c r="H172" s="181">
        <f t="shared" si="18"/>
        <v>6</v>
      </c>
      <c r="I172" s="409">
        <f t="shared" si="18"/>
        <v>10</v>
      </c>
      <c r="J172" s="410">
        <f t="shared" si="18"/>
        <v>29</v>
      </c>
      <c r="K172" s="221">
        <f t="shared" si="18"/>
        <v>55</v>
      </c>
      <c r="L172" s="1721"/>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503" t="s">
        <v>127</v>
      </c>
      <c r="B176" s="2466" t="s">
        <v>182</v>
      </c>
      <c r="C176" s="2470" t="s">
        <v>9</v>
      </c>
      <c r="D176" s="1762" t="s">
        <v>128</v>
      </c>
      <c r="E176" s="1834"/>
      <c r="F176" s="1834"/>
      <c r="G176" s="1835"/>
      <c r="H176" s="1763"/>
      <c r="I176" s="2392" t="s">
        <v>129</v>
      </c>
      <c r="J176" s="2464"/>
      <c r="K176" s="2464"/>
      <c r="L176" s="2464"/>
      <c r="M176" s="2464"/>
      <c r="N176" s="2464"/>
      <c r="O176" s="2465"/>
    </row>
    <row r="177" spans="1:15" s="56" customFormat="1" ht="129.75" customHeight="1">
      <c r="A177" s="2469"/>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2395"/>
      <c r="B178" s="1899"/>
      <c r="C178" s="106">
        <v>2014</v>
      </c>
      <c r="D178" s="30"/>
      <c r="E178" s="31"/>
      <c r="F178" s="31"/>
      <c r="G178" s="284">
        <f>SUM(D178:F178)</f>
        <v>0</v>
      </c>
      <c r="H178" s="155"/>
      <c r="I178" s="155"/>
      <c r="J178" s="31"/>
      <c r="K178" s="31"/>
      <c r="L178" s="31"/>
      <c r="M178" s="31"/>
      <c r="N178" s="31"/>
      <c r="O178" s="34"/>
    </row>
    <row r="179" spans="1:15">
      <c r="A179" s="2395"/>
      <c r="B179" s="1899"/>
      <c r="C179" s="110">
        <v>2015</v>
      </c>
      <c r="D179" s="37">
        <v>7</v>
      </c>
      <c r="E179" s="38">
        <v>6</v>
      </c>
      <c r="F179" s="38">
        <v>1</v>
      </c>
      <c r="G179" s="284">
        <f t="shared" ref="G179:G184" si="19">SUM(D179:F179)</f>
        <v>14</v>
      </c>
      <c r="H179" s="411">
        <v>20</v>
      </c>
      <c r="I179" s="112"/>
      <c r="J179" s="38">
        <v>2</v>
      </c>
      <c r="K179" s="38"/>
      <c r="L179" s="38"/>
      <c r="M179" s="38"/>
      <c r="N179" s="38"/>
      <c r="O179" s="88">
        <v>12</v>
      </c>
    </row>
    <row r="180" spans="1:15">
      <c r="A180" s="2395"/>
      <c r="B180" s="1899"/>
      <c r="C180" s="110">
        <v>2016</v>
      </c>
      <c r="D180" s="37">
        <v>1</v>
      </c>
      <c r="E180" s="38"/>
      <c r="F180" s="38"/>
      <c r="G180" s="284">
        <f t="shared" si="19"/>
        <v>1</v>
      </c>
      <c r="H180" s="411">
        <v>1</v>
      </c>
      <c r="I180" s="112"/>
      <c r="J180" s="38"/>
      <c r="K180" s="38"/>
      <c r="L180" s="38"/>
      <c r="M180" s="38"/>
      <c r="N180" s="38"/>
      <c r="O180" s="88">
        <v>1</v>
      </c>
    </row>
    <row r="181" spans="1:15">
      <c r="A181" s="2395"/>
      <c r="B181" s="1899"/>
      <c r="C181" s="110">
        <v>2017</v>
      </c>
      <c r="D181" s="37"/>
      <c r="E181" s="38"/>
      <c r="F181" s="38"/>
      <c r="G181" s="284">
        <f t="shared" si="19"/>
        <v>0</v>
      </c>
      <c r="H181" s="411"/>
      <c r="I181" s="112"/>
      <c r="J181" s="38"/>
      <c r="K181" s="38"/>
      <c r="L181" s="38"/>
      <c r="M181" s="38"/>
      <c r="N181" s="38"/>
      <c r="O181" s="88"/>
    </row>
    <row r="182" spans="1:15">
      <c r="A182" s="2395"/>
      <c r="B182" s="1899"/>
      <c r="C182" s="110">
        <v>2018</v>
      </c>
      <c r="D182" s="37"/>
      <c r="E182" s="38"/>
      <c r="F182" s="38"/>
      <c r="G182" s="284">
        <f t="shared" si="19"/>
        <v>0</v>
      </c>
      <c r="H182" s="411"/>
      <c r="I182" s="112"/>
      <c r="J182" s="38"/>
      <c r="K182" s="38"/>
      <c r="L182" s="38"/>
      <c r="M182" s="38"/>
      <c r="N182" s="38"/>
      <c r="O182" s="88"/>
    </row>
    <row r="183" spans="1:15">
      <c r="A183" s="2395"/>
      <c r="B183" s="1899"/>
      <c r="C183" s="110">
        <v>2019</v>
      </c>
      <c r="D183" s="37"/>
      <c r="E183" s="38"/>
      <c r="F183" s="38"/>
      <c r="G183" s="284">
        <f t="shared" si="19"/>
        <v>0</v>
      </c>
      <c r="H183" s="411"/>
      <c r="I183" s="112"/>
      <c r="J183" s="38"/>
      <c r="K183" s="38"/>
      <c r="L183" s="38"/>
      <c r="M183" s="38"/>
      <c r="N183" s="38"/>
      <c r="O183" s="88"/>
    </row>
    <row r="184" spans="1:15">
      <c r="A184" s="2395"/>
      <c r="B184" s="1899"/>
      <c r="C184" s="110">
        <v>2020</v>
      </c>
      <c r="D184" s="37"/>
      <c r="E184" s="38"/>
      <c r="F184" s="38"/>
      <c r="G184" s="284">
        <f t="shared" si="19"/>
        <v>0</v>
      </c>
      <c r="H184" s="411"/>
      <c r="I184" s="112"/>
      <c r="J184" s="38"/>
      <c r="K184" s="38"/>
      <c r="L184" s="38"/>
      <c r="M184" s="38"/>
      <c r="N184" s="38"/>
      <c r="O184" s="88"/>
    </row>
    <row r="185" spans="1:15" ht="45" customHeight="1" thickBot="1">
      <c r="A185" s="1893"/>
      <c r="B185" s="1900"/>
      <c r="C185" s="113" t="s">
        <v>13</v>
      </c>
      <c r="D185" s="139">
        <f>SUM(D178:D184)</f>
        <v>8</v>
      </c>
      <c r="E185" s="116">
        <f>SUM(E178:E184)</f>
        <v>6</v>
      </c>
      <c r="F185" s="116">
        <f>SUM(F178:F184)</f>
        <v>1</v>
      </c>
      <c r="G185" s="220">
        <f t="shared" ref="G185:O185" si="20">SUM(G178:G184)</f>
        <v>15</v>
      </c>
      <c r="H185" s="285">
        <f t="shared" si="20"/>
        <v>21</v>
      </c>
      <c r="I185" s="115">
        <f t="shared" si="20"/>
        <v>0</v>
      </c>
      <c r="J185" s="116">
        <f t="shared" si="20"/>
        <v>2</v>
      </c>
      <c r="K185" s="116">
        <f t="shared" si="20"/>
        <v>0</v>
      </c>
      <c r="L185" s="116">
        <f t="shared" si="20"/>
        <v>0</v>
      </c>
      <c r="M185" s="116">
        <f t="shared" si="20"/>
        <v>0</v>
      </c>
      <c r="N185" s="116">
        <f t="shared" si="20"/>
        <v>0</v>
      </c>
      <c r="O185" s="117">
        <f t="shared" si="20"/>
        <v>13</v>
      </c>
    </row>
    <row r="186" spans="1:15" ht="33" customHeight="1" thickBot="1"/>
    <row r="187" spans="1:15" ht="19.5" customHeight="1">
      <c r="A187" s="2379" t="s">
        <v>137</v>
      </c>
      <c r="B187" s="2466" t="s">
        <v>182</v>
      </c>
      <c r="C187" s="1865" t="s">
        <v>9</v>
      </c>
      <c r="D187" s="1867" t="s">
        <v>138</v>
      </c>
      <c r="E187" s="2467"/>
      <c r="F187" s="2467"/>
      <c r="G187" s="2382"/>
      <c r="H187" s="2383"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1976"/>
      <c r="B189" s="1977"/>
      <c r="C189" s="290">
        <v>2014</v>
      </c>
      <c r="D189" s="133"/>
      <c r="E189" s="109"/>
      <c r="F189" s="109"/>
      <c r="G189" s="291">
        <f>SUM(D189:F189)</f>
        <v>0</v>
      </c>
      <c r="H189" s="108"/>
      <c r="I189" s="109"/>
      <c r="J189" s="109"/>
      <c r="K189" s="109"/>
      <c r="L189" s="134"/>
    </row>
    <row r="190" spans="1:15">
      <c r="A190" s="2502"/>
      <c r="B190" s="1855"/>
      <c r="C190" s="73">
        <v>2015</v>
      </c>
      <c r="D190" s="37">
        <v>851</v>
      </c>
      <c r="E190" s="38">
        <v>635</v>
      </c>
      <c r="F190" s="38">
        <v>192</v>
      </c>
      <c r="G190" s="291">
        <f t="shared" ref="G190:G195" si="21">SUM(D190:F190)</f>
        <v>1678</v>
      </c>
      <c r="H190" s="112"/>
      <c r="I190" s="38">
        <v>11</v>
      </c>
      <c r="J190" s="38">
        <v>75</v>
      </c>
      <c r="K190" s="38">
        <v>947</v>
      </c>
      <c r="L190" s="88">
        <v>645</v>
      </c>
    </row>
    <row r="191" spans="1:15">
      <c r="A191" s="2502"/>
      <c r="B191" s="1855"/>
      <c r="C191" s="73">
        <v>2016</v>
      </c>
      <c r="D191" s="37">
        <v>2</v>
      </c>
      <c r="E191" s="38"/>
      <c r="F191" s="38"/>
      <c r="G191" s="291">
        <f t="shared" si="21"/>
        <v>2</v>
      </c>
      <c r="H191" s="112">
        <v>2</v>
      </c>
      <c r="I191" s="38"/>
      <c r="J191" s="38"/>
      <c r="K191" s="38"/>
      <c r="L191" s="88"/>
    </row>
    <row r="192" spans="1:15">
      <c r="A192" s="2502"/>
      <c r="B192" s="1855"/>
      <c r="C192" s="73">
        <v>2017</v>
      </c>
      <c r="D192" s="37"/>
      <c r="E192" s="38"/>
      <c r="F192" s="38"/>
      <c r="G192" s="291">
        <f t="shared" si="21"/>
        <v>0</v>
      </c>
      <c r="H192" s="112"/>
      <c r="I192" s="38"/>
      <c r="J192" s="38"/>
      <c r="K192" s="38"/>
      <c r="L192" s="88"/>
    </row>
    <row r="193" spans="1:14">
      <c r="A193" s="2502"/>
      <c r="B193" s="1855"/>
      <c r="C193" s="73">
        <v>2018</v>
      </c>
      <c r="D193" s="37"/>
      <c r="E193" s="38"/>
      <c r="F193" s="38"/>
      <c r="G193" s="291">
        <f t="shared" si="21"/>
        <v>0</v>
      </c>
      <c r="H193" s="112"/>
      <c r="I193" s="38"/>
      <c r="J193" s="38"/>
      <c r="K193" s="38"/>
      <c r="L193" s="88"/>
    </row>
    <row r="194" spans="1:14">
      <c r="A194" s="2502"/>
      <c r="B194" s="1855"/>
      <c r="C194" s="73">
        <v>2019</v>
      </c>
      <c r="D194" s="37"/>
      <c r="E194" s="38"/>
      <c r="F194" s="38"/>
      <c r="G194" s="291">
        <f t="shared" si="21"/>
        <v>0</v>
      </c>
      <c r="H194" s="112"/>
      <c r="I194" s="38"/>
      <c r="J194" s="38"/>
      <c r="K194" s="38"/>
      <c r="L194" s="88"/>
    </row>
    <row r="195" spans="1:14">
      <c r="A195" s="2502"/>
      <c r="B195" s="1855"/>
      <c r="C195" s="73">
        <v>2020</v>
      </c>
      <c r="D195" s="37"/>
      <c r="E195" s="38"/>
      <c r="F195" s="38"/>
      <c r="G195" s="291">
        <f t="shared" si="21"/>
        <v>0</v>
      </c>
      <c r="H195" s="112"/>
      <c r="I195" s="38"/>
      <c r="J195" s="38"/>
      <c r="K195" s="38"/>
      <c r="L195" s="88"/>
    </row>
    <row r="196" spans="1:14" ht="15.75" thickBot="1">
      <c r="A196" s="1979"/>
      <c r="B196" s="1857"/>
      <c r="C196" s="136" t="s">
        <v>13</v>
      </c>
      <c r="D196" s="139">
        <f t="shared" ref="D196:L196" si="22">SUM(D189:D195)</f>
        <v>853</v>
      </c>
      <c r="E196" s="116">
        <f t="shared" si="22"/>
        <v>635</v>
      </c>
      <c r="F196" s="116">
        <f t="shared" si="22"/>
        <v>192</v>
      </c>
      <c r="G196" s="292">
        <f t="shared" si="22"/>
        <v>1680</v>
      </c>
      <c r="H196" s="115">
        <f t="shared" si="22"/>
        <v>2</v>
      </c>
      <c r="I196" s="116">
        <f t="shared" si="22"/>
        <v>11</v>
      </c>
      <c r="J196" s="116">
        <f t="shared" si="22"/>
        <v>75</v>
      </c>
      <c r="K196" s="116">
        <f t="shared" si="22"/>
        <v>947</v>
      </c>
      <c r="L196" s="117">
        <f t="shared" si="22"/>
        <v>645</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1842" t="s">
        <v>150</v>
      </c>
      <c r="B201" s="417" t="s">
        <v>182</v>
      </c>
      <c r="C201" s="298" t="s">
        <v>9</v>
      </c>
      <c r="D201" s="1764" t="s">
        <v>151</v>
      </c>
      <c r="E201" s="300" t="s">
        <v>152</v>
      </c>
      <c r="F201" s="300" t="s">
        <v>153</v>
      </c>
      <c r="G201" s="298" t="s">
        <v>154</v>
      </c>
      <c r="H201" s="1836" t="s">
        <v>155</v>
      </c>
      <c r="I201" s="1765" t="s">
        <v>156</v>
      </c>
      <c r="J201" s="1766" t="s">
        <v>157</v>
      </c>
      <c r="K201" s="300" t="s">
        <v>158</v>
      </c>
      <c r="L201" s="304" t="s">
        <v>159</v>
      </c>
    </row>
    <row r="202" spans="1:14" ht="15" customHeight="1">
      <c r="A202" s="2378" t="s">
        <v>595</v>
      </c>
      <c r="B202" s="1855"/>
      <c r="C202" s="72">
        <v>2014</v>
      </c>
      <c r="D202" s="30"/>
      <c r="E202" s="31"/>
      <c r="F202" s="31"/>
      <c r="G202" s="29"/>
      <c r="H202" s="305"/>
      <c r="I202" s="306"/>
      <c r="J202" s="307"/>
      <c r="K202" s="31"/>
      <c r="L202" s="34"/>
    </row>
    <row r="203" spans="1:14">
      <c r="A203" s="2378"/>
      <c r="B203" s="1855"/>
      <c r="C203" s="73">
        <v>2015</v>
      </c>
      <c r="D203" s="37"/>
      <c r="E203" s="38"/>
      <c r="F203" s="38"/>
      <c r="G203" s="36"/>
      <c r="H203" s="308"/>
      <c r="I203" s="309"/>
      <c r="J203" s="310"/>
      <c r="K203" s="38"/>
      <c r="L203" s="88"/>
    </row>
    <row r="204" spans="1:14">
      <c r="A204" s="2378"/>
      <c r="B204" s="1855"/>
      <c r="C204" s="73">
        <v>2016</v>
      </c>
      <c r="D204" s="37">
        <v>3</v>
      </c>
      <c r="E204" s="38">
        <v>12</v>
      </c>
      <c r="F204" s="38"/>
      <c r="G204" s="36"/>
      <c r="H204" s="308">
        <v>21</v>
      </c>
      <c r="I204" s="309">
        <v>0</v>
      </c>
      <c r="J204" s="310">
        <v>2</v>
      </c>
      <c r="K204" s="38">
        <v>10</v>
      </c>
      <c r="L204" s="88"/>
    </row>
    <row r="205" spans="1:14">
      <c r="A205" s="2378"/>
      <c r="B205" s="1855"/>
      <c r="C205" s="73">
        <v>2017</v>
      </c>
      <c r="D205" s="37">
        <v>7</v>
      </c>
      <c r="E205" s="38">
        <v>74</v>
      </c>
      <c r="F205" s="38">
        <v>20</v>
      </c>
      <c r="G205" s="36"/>
      <c r="H205" s="308">
        <v>47</v>
      </c>
      <c r="I205" s="309">
        <v>1</v>
      </c>
      <c r="J205" s="310">
        <v>2</v>
      </c>
      <c r="K205" s="38">
        <v>3</v>
      </c>
      <c r="L205" s="88"/>
    </row>
    <row r="206" spans="1:14">
      <c r="A206" s="2378"/>
      <c r="B206" s="1855"/>
      <c r="C206" s="73">
        <v>2018</v>
      </c>
      <c r="D206" s="37"/>
      <c r="E206" s="38"/>
      <c r="F206" s="38"/>
      <c r="G206" s="36"/>
      <c r="H206" s="308"/>
      <c r="I206" s="309"/>
      <c r="J206" s="310"/>
      <c r="K206" s="38"/>
      <c r="L206" s="88"/>
    </row>
    <row r="207" spans="1:14">
      <c r="A207" s="2378"/>
      <c r="B207" s="1855"/>
      <c r="C207" s="73">
        <v>2019</v>
      </c>
      <c r="D207" s="37"/>
      <c r="E207" s="38"/>
      <c r="F207" s="38"/>
      <c r="G207" s="36"/>
      <c r="H207" s="308"/>
      <c r="I207" s="309"/>
      <c r="J207" s="310"/>
      <c r="K207" s="38"/>
      <c r="L207" s="88"/>
    </row>
    <row r="208" spans="1:14">
      <c r="A208" s="2378"/>
      <c r="B208" s="1855"/>
      <c r="C208" s="73">
        <v>2020</v>
      </c>
      <c r="D208" s="1809"/>
      <c r="E208" s="312"/>
      <c r="F208" s="312"/>
      <c r="G208" s="313"/>
      <c r="H208" s="314"/>
      <c r="I208" s="315"/>
      <c r="J208" s="316"/>
      <c r="K208" s="312"/>
      <c r="L208" s="317"/>
    </row>
    <row r="209" spans="1:12" ht="20.25" customHeight="1" thickBot="1">
      <c r="A209" s="1856"/>
      <c r="B209" s="1857"/>
      <c r="C209" s="136" t="s">
        <v>13</v>
      </c>
      <c r="D209" s="139">
        <f>SUM(D202:D208)</f>
        <v>10</v>
      </c>
      <c r="E209" s="139">
        <f t="shared" ref="E209:L209" si="23">SUM(E202:E208)</f>
        <v>86</v>
      </c>
      <c r="F209" s="139">
        <f t="shared" si="23"/>
        <v>20</v>
      </c>
      <c r="G209" s="139">
        <f t="shared" si="23"/>
        <v>0</v>
      </c>
      <c r="H209" s="139">
        <f t="shared" si="23"/>
        <v>68</v>
      </c>
      <c r="I209" s="139">
        <f t="shared" si="23"/>
        <v>1</v>
      </c>
      <c r="J209" s="139">
        <f t="shared" si="23"/>
        <v>4</v>
      </c>
      <c r="K209" s="139">
        <f t="shared" si="23"/>
        <v>13</v>
      </c>
      <c r="L209" s="139">
        <f t="shared" si="23"/>
        <v>0</v>
      </c>
    </row>
    <row r="211" spans="1:12" ht="15.75" thickBot="1"/>
    <row r="212" spans="1:12" ht="29.25">
      <c r="A212" s="1843" t="s">
        <v>161</v>
      </c>
      <c r="B212" s="322" t="s">
        <v>162</v>
      </c>
      <c r="C212" s="323">
        <v>2014</v>
      </c>
      <c r="D212" s="324">
        <v>2015</v>
      </c>
      <c r="E212" s="324">
        <v>2016</v>
      </c>
      <c r="F212" s="324">
        <v>2017</v>
      </c>
      <c r="G212" s="324">
        <v>2018</v>
      </c>
      <c r="H212" s="324">
        <v>2019</v>
      </c>
      <c r="I212" s="325">
        <v>2020</v>
      </c>
    </row>
    <row r="213" spans="1:12" ht="15" customHeight="1">
      <c r="A213" t="s">
        <v>163</v>
      </c>
      <c r="B213" s="1986" t="s">
        <v>596</v>
      </c>
      <c r="C213" s="72"/>
      <c r="D213" s="328">
        <f>SUM(D214:D217)</f>
        <v>1113183.2999999998</v>
      </c>
      <c r="E213" s="328">
        <f>SUM(E214:E217)</f>
        <v>142755.14000000001</v>
      </c>
      <c r="F213" s="328">
        <f>SUM(F214:F217)</f>
        <v>143724.48000000001</v>
      </c>
      <c r="G213" s="135"/>
      <c r="H213" s="135"/>
      <c r="I213" s="326"/>
    </row>
    <row r="214" spans="1:12">
      <c r="A214" t="s">
        <v>164</v>
      </c>
      <c r="B214" s="1984"/>
      <c r="C214" s="72"/>
      <c r="D214" s="328">
        <v>190616.1</v>
      </c>
      <c r="E214" s="328"/>
      <c r="F214" s="328"/>
      <c r="G214" s="135"/>
      <c r="H214" s="135"/>
      <c r="I214" s="326"/>
    </row>
    <row r="215" spans="1:12">
      <c r="A215" t="s">
        <v>165</v>
      </c>
      <c r="B215" s="1984"/>
      <c r="C215" s="72"/>
      <c r="D215" s="328"/>
      <c r="E215" s="328"/>
      <c r="F215" s="328"/>
      <c r="G215" s="135"/>
      <c r="H215" s="135"/>
      <c r="I215" s="326"/>
    </row>
    <row r="216" spans="1:12">
      <c r="A216" t="s">
        <v>166</v>
      </c>
      <c r="B216" s="1984"/>
      <c r="C216" s="72"/>
      <c r="D216" s="328">
        <v>110700</v>
      </c>
      <c r="E216" s="328"/>
      <c r="F216" s="328"/>
      <c r="G216" s="135"/>
      <c r="H216" s="135"/>
      <c r="I216" s="326"/>
    </row>
    <row r="217" spans="1:12">
      <c r="A217" t="s">
        <v>167</v>
      </c>
      <c r="B217" s="1984"/>
      <c r="C217" s="72"/>
      <c r="D217" s="328">
        <v>811867.2</v>
      </c>
      <c r="E217" s="328">
        <f>138450.14+4305</f>
        <v>142755.14000000001</v>
      </c>
      <c r="F217" s="328">
        <v>143724.48000000001</v>
      </c>
      <c r="G217" s="135"/>
      <c r="H217" s="135"/>
      <c r="I217" s="326"/>
    </row>
    <row r="218" spans="1:12" ht="30">
      <c r="A218" s="56" t="s">
        <v>168</v>
      </c>
      <c r="B218" s="1984"/>
      <c r="C218" s="72"/>
      <c r="D218" s="328">
        <v>656474.80999999994</v>
      </c>
      <c r="E218" s="328">
        <v>1396343.88</v>
      </c>
      <c r="F218" s="327">
        <v>1779881.87</v>
      </c>
      <c r="G218" s="135"/>
      <c r="H218" s="135"/>
      <c r="I218" s="326"/>
    </row>
    <row r="219" spans="1:12" ht="15.75" thickBot="1">
      <c r="A219" s="1808"/>
      <c r="B219" s="1985"/>
      <c r="C219" s="42" t="s">
        <v>13</v>
      </c>
      <c r="D219" s="332">
        <f>SUM(D214:D218)</f>
        <v>1769658.1099999999</v>
      </c>
      <c r="E219" s="332">
        <f t="shared" ref="E219:I219" si="24">SUM(E214:E218)</f>
        <v>1539099.02</v>
      </c>
      <c r="F219" s="332">
        <f>F217+F218</f>
        <v>1923606.35</v>
      </c>
      <c r="G219" s="333">
        <f t="shared" si="24"/>
        <v>0</v>
      </c>
      <c r="H219" s="333">
        <f t="shared" si="24"/>
        <v>0</v>
      </c>
      <c r="I219" s="333">
        <f t="shared" si="24"/>
        <v>0</v>
      </c>
    </row>
    <row r="221" spans="1:12">
      <c r="D221" s="1524"/>
    </row>
    <row r="227" spans="1:1">
      <c r="A227" s="56"/>
    </row>
  </sheetData>
  <mergeCells count="58">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C96:C97"/>
    <mergeCell ref="D96:E96"/>
    <mergeCell ref="A98:B105"/>
    <mergeCell ref="A107:A108"/>
    <mergeCell ref="B107:B108"/>
    <mergeCell ref="C107:C108"/>
    <mergeCell ref="D107:D108"/>
    <mergeCell ref="A96:A97"/>
    <mergeCell ref="B96:B97"/>
    <mergeCell ref="A109:B116"/>
    <mergeCell ref="A118:A119"/>
    <mergeCell ref="B118:B119"/>
    <mergeCell ref="C118:C119"/>
    <mergeCell ref="D118:D119"/>
    <mergeCell ref="A62:A69"/>
    <mergeCell ref="B62:B69"/>
    <mergeCell ref="A72:A79"/>
    <mergeCell ref="B72:B79"/>
    <mergeCell ref="A85:B92"/>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8"/>
  <sheetViews>
    <sheetView topLeftCell="C16" workbookViewId="0">
      <selection activeCell="F225" sqref="F225"/>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404</v>
      </c>
      <c r="C1" s="1944"/>
      <c r="D1" s="1944"/>
      <c r="E1" s="1944"/>
      <c r="F1" s="1944"/>
    </row>
    <row r="2" spans="1:25" s="1" customFormat="1" ht="20.100000000000001" customHeight="1" thickBot="1"/>
    <row r="3" spans="1:25" s="4" customFormat="1" ht="20.100000000000001" customHeight="1">
      <c r="A3" s="1536" t="s">
        <v>2</v>
      </c>
      <c r="B3" s="1537"/>
      <c r="C3" s="1537"/>
      <c r="D3" s="1537"/>
      <c r="E3" s="1537"/>
      <c r="F3" s="2521"/>
      <c r="G3" s="2521"/>
      <c r="H3" s="2521"/>
      <c r="I3" s="2521"/>
      <c r="J3" s="2521"/>
      <c r="K3" s="2521"/>
      <c r="L3" s="2521"/>
      <c r="M3" s="2521"/>
      <c r="N3" s="2521"/>
      <c r="O3" s="2522"/>
    </row>
    <row r="4" spans="1:25" s="4" customFormat="1" ht="20.100000000000001" customHeight="1">
      <c r="A4" s="1947" t="s">
        <v>170</v>
      </c>
      <c r="B4" s="1948"/>
      <c r="C4" s="1948"/>
      <c r="D4" s="1948"/>
      <c r="E4" s="1948"/>
      <c r="F4" s="1948"/>
      <c r="G4" s="1948"/>
      <c r="H4" s="1948"/>
      <c r="I4" s="1948"/>
      <c r="J4" s="1948"/>
      <c r="K4" s="1948"/>
      <c r="L4" s="1948"/>
      <c r="M4" s="1948"/>
      <c r="N4" s="1948"/>
      <c r="O4" s="1949"/>
    </row>
    <row r="5" spans="1:25" s="4" customFormat="1" ht="20.100000000000001" customHeight="1">
      <c r="A5" s="1947"/>
      <c r="B5" s="1948"/>
      <c r="C5" s="1948"/>
      <c r="D5" s="1948"/>
      <c r="E5" s="1948"/>
      <c r="F5" s="1948"/>
      <c r="G5" s="1948"/>
      <c r="H5" s="1948"/>
      <c r="I5" s="1948"/>
      <c r="J5" s="1948"/>
      <c r="K5" s="1948"/>
      <c r="L5" s="1948"/>
      <c r="M5" s="1948"/>
      <c r="N5" s="1948"/>
      <c r="O5" s="1949"/>
    </row>
    <row r="6" spans="1:25" s="4" customFormat="1" ht="20.100000000000001" customHeight="1">
      <c r="A6" s="1947"/>
      <c r="B6" s="1948"/>
      <c r="C6" s="1948"/>
      <c r="D6" s="1948"/>
      <c r="E6" s="1948"/>
      <c r="F6" s="1948"/>
      <c r="G6" s="1948"/>
      <c r="H6" s="1948"/>
      <c r="I6" s="1948"/>
      <c r="J6" s="1948"/>
      <c r="K6" s="1948"/>
      <c r="L6" s="1948"/>
      <c r="M6" s="1948"/>
      <c r="N6" s="1948"/>
      <c r="O6" s="1949"/>
    </row>
    <row r="7" spans="1:25" s="4" customFormat="1" ht="20.100000000000001" customHeight="1">
      <c r="A7" s="1947"/>
      <c r="B7" s="1948"/>
      <c r="C7" s="1948"/>
      <c r="D7" s="1948"/>
      <c r="E7" s="1948"/>
      <c r="F7" s="1948"/>
      <c r="G7" s="1948"/>
      <c r="H7" s="1948"/>
      <c r="I7" s="1948"/>
      <c r="J7" s="1948"/>
      <c r="K7" s="1948"/>
      <c r="L7" s="1948"/>
      <c r="M7" s="1948"/>
      <c r="N7" s="1948"/>
      <c r="O7" s="1949"/>
    </row>
    <row r="8" spans="1:25" s="4" customFormat="1" ht="20.100000000000001" customHeight="1">
      <c r="A8" s="1947"/>
      <c r="B8" s="1948"/>
      <c r="C8" s="1948"/>
      <c r="D8" s="1948"/>
      <c r="E8" s="1948"/>
      <c r="F8" s="1948"/>
      <c r="G8" s="1948"/>
      <c r="H8" s="1948"/>
      <c r="I8" s="1948"/>
      <c r="J8" s="1948"/>
      <c r="K8" s="1948"/>
      <c r="L8" s="1948"/>
      <c r="M8" s="1948"/>
      <c r="N8" s="1948"/>
      <c r="O8" s="1949"/>
    </row>
    <row r="9" spans="1:25" s="4" customFormat="1" ht="20.100000000000001" customHeight="1">
      <c r="A9" s="1947"/>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19.5"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515"/>
      <c r="B15" s="516"/>
      <c r="C15" s="10"/>
      <c r="D15" s="1953" t="s">
        <v>5</v>
      </c>
      <c r="E15" s="2012"/>
      <c r="F15" s="2012"/>
      <c r="G15" s="2012"/>
      <c r="H15" s="11"/>
      <c r="I15" s="12" t="s">
        <v>6</v>
      </c>
      <c r="J15" s="13"/>
      <c r="K15" s="13"/>
      <c r="L15" s="13"/>
      <c r="M15" s="13"/>
      <c r="N15" s="13"/>
      <c r="O15" s="14"/>
      <c r="P15" s="15"/>
      <c r="Q15" s="16"/>
      <c r="R15" s="17"/>
      <c r="S15" s="17"/>
      <c r="T15" s="17"/>
      <c r="U15" s="17"/>
      <c r="V15" s="17"/>
      <c r="W15" s="15"/>
      <c r="X15" s="15"/>
      <c r="Y15" s="16"/>
    </row>
    <row r="16" spans="1:25" s="56" customFormat="1" ht="129" customHeight="1">
      <c r="A16" s="153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2523" t="s">
        <v>405</v>
      </c>
      <c r="B17" s="2021"/>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2524"/>
      <c r="B18" s="2021"/>
      <c r="C18" s="36">
        <v>2015</v>
      </c>
      <c r="D18" s="37"/>
      <c r="E18" s="38">
        <v>1</v>
      </c>
      <c r="F18" s="38"/>
      <c r="G18" s="32">
        <f>SUM(D18:F18)</f>
        <v>1</v>
      </c>
      <c r="H18" s="39">
        <v>1</v>
      </c>
      <c r="I18" s="38"/>
      <c r="J18" s="38"/>
      <c r="K18" s="38"/>
      <c r="L18" s="38"/>
      <c r="M18" s="38"/>
      <c r="N18" s="38"/>
      <c r="O18" s="40"/>
      <c r="P18" s="35"/>
      <c r="Q18" s="35"/>
      <c r="R18" s="35"/>
      <c r="S18" s="35"/>
      <c r="T18" s="35"/>
      <c r="U18" s="35"/>
      <c r="V18" s="35"/>
      <c r="W18" s="35"/>
      <c r="X18" s="35"/>
      <c r="Y18" s="35"/>
    </row>
    <row r="19" spans="1:25">
      <c r="A19" s="2524"/>
      <c r="B19" s="2021"/>
      <c r="C19" s="36">
        <v>2016</v>
      </c>
      <c r="D19" s="37"/>
      <c r="E19" s="38">
        <v>8</v>
      </c>
      <c r="F19" s="38">
        <v>3</v>
      </c>
      <c r="G19" s="32">
        <f t="shared" si="0"/>
        <v>11</v>
      </c>
      <c r="H19" s="39">
        <v>11</v>
      </c>
      <c r="I19" s="38"/>
      <c r="J19" s="38"/>
      <c r="K19" s="38"/>
      <c r="L19" s="38"/>
      <c r="M19" s="38"/>
      <c r="N19" s="38"/>
      <c r="O19" s="40"/>
      <c r="P19" s="35"/>
      <c r="Q19" s="35"/>
      <c r="R19" s="35"/>
      <c r="S19" s="35"/>
      <c r="T19" s="35"/>
      <c r="U19" s="35"/>
      <c r="V19" s="35"/>
      <c r="W19" s="35"/>
      <c r="X19" s="35"/>
      <c r="Y19" s="35"/>
    </row>
    <row r="20" spans="1:25">
      <c r="A20" s="2524"/>
      <c r="B20" s="2021"/>
      <c r="C20" s="36">
        <v>2017</v>
      </c>
      <c r="D20" s="37"/>
      <c r="E20" s="38">
        <v>58</v>
      </c>
      <c r="F20" s="38">
        <v>1</v>
      </c>
      <c r="G20" s="32">
        <f t="shared" si="0"/>
        <v>59</v>
      </c>
      <c r="H20" s="39">
        <v>59</v>
      </c>
      <c r="I20" s="38"/>
      <c r="J20" s="38"/>
      <c r="K20" s="38"/>
      <c r="L20" s="38"/>
      <c r="M20" s="38"/>
      <c r="N20" s="38"/>
      <c r="O20" s="40"/>
      <c r="P20" s="35"/>
      <c r="Q20" s="35"/>
      <c r="R20" s="35"/>
      <c r="S20" s="35"/>
      <c r="T20" s="35"/>
      <c r="U20" s="35"/>
      <c r="V20" s="35"/>
      <c r="W20" s="35"/>
      <c r="X20" s="35"/>
      <c r="Y20" s="35"/>
    </row>
    <row r="21" spans="1:25">
      <c r="A21" s="2524"/>
      <c r="B21" s="2021"/>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2524"/>
      <c r="B22" s="2021"/>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2524"/>
      <c r="B23" s="2021"/>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216.75" customHeight="1" thickBot="1">
      <c r="A24" s="2525"/>
      <c r="B24" s="2023"/>
      <c r="C24" s="42" t="s">
        <v>13</v>
      </c>
      <c r="D24" s="43">
        <f>SUM(D17:D23)</f>
        <v>0</v>
      </c>
      <c r="E24" s="44">
        <f>SUM(E17:E23)</f>
        <v>67</v>
      </c>
      <c r="F24" s="44">
        <f>SUM(F17:F23)</f>
        <v>4</v>
      </c>
      <c r="G24" s="45">
        <f>SUM(D24:F24)</f>
        <v>71</v>
      </c>
      <c r="H24" s="46">
        <f>SUM(H17:H23)</f>
        <v>71</v>
      </c>
      <c r="I24" s="47">
        <f>SUM(I17:I23)</f>
        <v>0</v>
      </c>
      <c r="J24" s="47">
        <f t="shared" ref="J24:N24" si="1">SUM(J17:J23)</f>
        <v>0</v>
      </c>
      <c r="K24" s="47">
        <f t="shared" si="1"/>
        <v>0</v>
      </c>
      <c r="L24" s="47">
        <f t="shared" si="1"/>
        <v>0</v>
      </c>
      <c r="M24" s="47">
        <f t="shared" si="1"/>
        <v>0</v>
      </c>
      <c r="N24" s="47">
        <f t="shared" si="1"/>
        <v>0</v>
      </c>
      <c r="O24" s="48">
        <f>SUM(O17:O23)</f>
        <v>0</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515"/>
      <c r="B26" s="516"/>
      <c r="C26" s="50"/>
      <c r="D26" s="1959" t="s">
        <v>5</v>
      </c>
      <c r="E26" s="2071"/>
      <c r="F26" s="2071"/>
      <c r="G26" s="2072"/>
      <c r="H26" s="15"/>
      <c r="I26" s="16"/>
      <c r="J26" s="17"/>
      <c r="K26" s="17"/>
      <c r="L26" s="17"/>
      <c r="M26" s="17"/>
      <c r="N26" s="17"/>
      <c r="O26" s="15"/>
      <c r="P26" s="15"/>
    </row>
    <row r="27" spans="1:25" s="56" customFormat="1" ht="93" customHeight="1">
      <c r="A27" s="1539"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2523" t="s">
        <v>406</v>
      </c>
      <c r="B28" s="2021"/>
      <c r="C28" s="57">
        <v>2014</v>
      </c>
      <c r="D28" s="33"/>
      <c r="E28" s="31"/>
      <c r="F28" s="31"/>
      <c r="G28" s="58">
        <f>SUM(D28:F28)</f>
        <v>0</v>
      </c>
      <c r="H28" s="35"/>
      <c r="I28" s="35"/>
      <c r="J28" s="35"/>
      <c r="K28" s="35"/>
      <c r="L28" s="35"/>
      <c r="M28" s="35"/>
      <c r="N28" s="35"/>
      <c r="O28" s="35"/>
      <c r="P28" s="35"/>
      <c r="Q28" s="7"/>
    </row>
    <row r="29" spans="1:25">
      <c r="A29" s="2524"/>
      <c r="B29" s="2021"/>
      <c r="C29" s="59">
        <v>2015</v>
      </c>
      <c r="D29" s="39"/>
      <c r="E29" s="38">
        <v>79</v>
      </c>
      <c r="F29" s="38"/>
      <c r="G29" s="58">
        <v>79</v>
      </c>
      <c r="H29" s="35"/>
      <c r="I29" s="35"/>
      <c r="J29" s="35"/>
      <c r="K29" s="35"/>
      <c r="L29" s="35"/>
      <c r="M29" s="35"/>
      <c r="N29" s="35"/>
      <c r="O29" s="35"/>
      <c r="P29" s="35"/>
      <c r="Q29" s="7"/>
    </row>
    <row r="30" spans="1:25">
      <c r="A30" s="2524"/>
      <c r="B30" s="2021"/>
      <c r="C30" s="59">
        <v>2016</v>
      </c>
      <c r="D30" s="39"/>
      <c r="E30" s="38">
        <v>1219</v>
      </c>
      <c r="F30" s="38">
        <v>71330</v>
      </c>
      <c r="G30" s="58">
        <f t="shared" ref="G30:G34" si="2">SUM(D30:F30)</f>
        <v>72549</v>
      </c>
      <c r="H30" s="35"/>
      <c r="I30" s="35"/>
      <c r="J30" s="35"/>
      <c r="K30" s="35"/>
      <c r="L30" s="35"/>
      <c r="M30" s="35"/>
      <c r="N30" s="35"/>
      <c r="O30" s="35"/>
      <c r="P30" s="35"/>
      <c r="Q30" s="7"/>
    </row>
    <row r="31" spans="1:25">
      <c r="A31" s="2524"/>
      <c r="B31" s="2021"/>
      <c r="C31" s="59">
        <v>2017</v>
      </c>
      <c r="D31" s="39"/>
      <c r="E31" s="38">
        <f>SUM(503+988+40+46+66+16+89)</f>
        <v>1748</v>
      </c>
      <c r="F31" s="38">
        <v>71250</v>
      </c>
      <c r="G31" s="58">
        <f t="shared" si="2"/>
        <v>72998</v>
      </c>
      <c r="H31" s="35"/>
      <c r="I31" s="35"/>
      <c r="J31" s="35"/>
      <c r="K31" s="35"/>
      <c r="L31" s="35"/>
      <c r="M31" s="35"/>
      <c r="N31" s="35"/>
      <c r="O31" s="35"/>
      <c r="P31" s="35"/>
      <c r="Q31" s="7"/>
    </row>
    <row r="32" spans="1:25">
      <c r="A32" s="2524"/>
      <c r="B32" s="2021"/>
      <c r="C32" s="59">
        <v>2018</v>
      </c>
      <c r="D32" s="39"/>
      <c r="E32" s="38"/>
      <c r="F32" s="38"/>
      <c r="G32" s="58">
        <f>SUM(D32:F32)</f>
        <v>0</v>
      </c>
      <c r="H32" s="35"/>
      <c r="I32" s="35"/>
      <c r="J32" s="35"/>
      <c r="K32" s="35"/>
      <c r="L32" s="35"/>
      <c r="M32" s="35"/>
      <c r="N32" s="35"/>
      <c r="O32" s="35"/>
      <c r="P32" s="35"/>
      <c r="Q32" s="7"/>
    </row>
    <row r="33" spans="1:17">
      <c r="A33" s="2524"/>
      <c r="B33" s="2021"/>
      <c r="C33" s="60">
        <v>2019</v>
      </c>
      <c r="D33" s="39"/>
      <c r="E33" s="38"/>
      <c r="F33" s="38"/>
      <c r="G33" s="58">
        <f t="shared" si="2"/>
        <v>0</v>
      </c>
      <c r="H33" s="35"/>
      <c r="I33" s="35"/>
      <c r="J33" s="35"/>
      <c r="K33" s="35"/>
      <c r="L33" s="35"/>
      <c r="M33" s="35"/>
      <c r="N33" s="35"/>
      <c r="O33" s="35"/>
      <c r="P33" s="35"/>
      <c r="Q33" s="7"/>
    </row>
    <row r="34" spans="1:17">
      <c r="A34" s="2524"/>
      <c r="B34" s="2021"/>
      <c r="C34" s="59">
        <v>2020</v>
      </c>
      <c r="D34" s="39"/>
      <c r="E34" s="38"/>
      <c r="F34" s="38"/>
      <c r="G34" s="58">
        <f t="shared" si="2"/>
        <v>0</v>
      </c>
      <c r="H34" s="35"/>
      <c r="I34" s="35"/>
      <c r="J34" s="35"/>
      <c r="K34" s="35"/>
      <c r="L34" s="35"/>
      <c r="M34" s="35"/>
      <c r="N34" s="35"/>
      <c r="O34" s="35"/>
      <c r="P34" s="35"/>
      <c r="Q34" s="7"/>
    </row>
    <row r="35" spans="1:17" ht="282" customHeight="1" thickBot="1">
      <c r="A35" s="2525"/>
      <c r="B35" s="2023"/>
      <c r="C35" s="61" t="s">
        <v>13</v>
      </c>
      <c r="D35" s="46">
        <f>SUM(D28:D34)</f>
        <v>0</v>
      </c>
      <c r="E35" s="44">
        <f>SUM(E28:E34)</f>
        <v>3046</v>
      </c>
      <c r="F35" s="44">
        <f>SUM(F28:F34)</f>
        <v>142580</v>
      </c>
      <c r="G35" s="48">
        <f>SUM(D35:F35)</f>
        <v>145626</v>
      </c>
      <c r="H35" s="35"/>
      <c r="I35" s="35"/>
      <c r="J35" s="35"/>
      <c r="K35" s="35"/>
      <c r="L35" s="35"/>
      <c r="M35" s="35"/>
      <c r="N35" s="35"/>
      <c r="O35" s="35"/>
      <c r="P35" s="35"/>
      <c r="Q35" s="7"/>
    </row>
    <row r="36" spans="1:17">
      <c r="A36" s="1535"/>
      <c r="B36" s="1535"/>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535" t="s">
        <v>26</v>
      </c>
      <c r="B39" s="536" t="s">
        <v>171</v>
      </c>
      <c r="C39" s="68" t="s">
        <v>9</v>
      </c>
      <c r="D39" s="69" t="s">
        <v>28</v>
      </c>
      <c r="E39" s="70" t="s">
        <v>29</v>
      </c>
      <c r="F39" s="71"/>
      <c r="G39" s="28"/>
      <c r="H39" s="28"/>
    </row>
    <row r="40" spans="1:17">
      <c r="A40" s="2523" t="s">
        <v>407</v>
      </c>
      <c r="B40" s="2021"/>
      <c r="C40" s="72">
        <v>2014</v>
      </c>
      <c r="D40" s="30"/>
      <c r="E40" s="29"/>
      <c r="F40" s="7"/>
      <c r="G40" s="35"/>
      <c r="H40" s="35"/>
    </row>
    <row r="41" spans="1:17">
      <c r="A41" s="2524"/>
      <c r="B41" s="2021"/>
      <c r="C41" s="73">
        <v>2015</v>
      </c>
      <c r="D41" s="37">
        <v>8114</v>
      </c>
      <c r="E41" s="1540"/>
      <c r="F41" s="7"/>
      <c r="G41" s="35"/>
      <c r="H41" s="35"/>
    </row>
    <row r="42" spans="1:17">
      <c r="A42" s="2524"/>
      <c r="B42" s="2021"/>
      <c r="C42" s="73">
        <v>2016</v>
      </c>
      <c r="D42" s="37">
        <v>95128</v>
      </c>
      <c r="E42" s="1540"/>
      <c r="F42" s="7"/>
      <c r="G42" s="35"/>
      <c r="H42" s="35"/>
    </row>
    <row r="43" spans="1:17">
      <c r="A43" s="2524"/>
      <c r="B43" s="2021"/>
      <c r="C43" s="73">
        <v>2017</v>
      </c>
      <c r="D43" s="37">
        <v>111305</v>
      </c>
      <c r="E43" s="36"/>
      <c r="F43" s="7"/>
      <c r="G43" s="35"/>
      <c r="H43" s="35"/>
    </row>
    <row r="44" spans="1:17">
      <c r="A44" s="2524"/>
      <c r="B44" s="2021"/>
      <c r="C44" s="73">
        <v>2018</v>
      </c>
      <c r="D44" s="37"/>
      <c r="E44" s="36"/>
      <c r="F44" s="7"/>
      <c r="G44" s="35"/>
      <c r="H44" s="35"/>
    </row>
    <row r="45" spans="1:17">
      <c r="A45" s="2524"/>
      <c r="B45" s="2021"/>
      <c r="C45" s="73">
        <v>2019</v>
      </c>
      <c r="D45" s="37"/>
      <c r="E45" s="36"/>
      <c r="F45" s="7"/>
      <c r="G45" s="35"/>
      <c r="H45" s="35"/>
    </row>
    <row r="46" spans="1:17">
      <c r="A46" s="2524"/>
      <c r="B46" s="2021"/>
      <c r="C46" s="73">
        <v>2020</v>
      </c>
      <c r="D46" s="37"/>
      <c r="E46" s="36"/>
      <c r="F46" s="7"/>
      <c r="G46" s="35"/>
      <c r="H46" s="35"/>
    </row>
    <row r="47" spans="1:17" ht="15.75" thickBot="1">
      <c r="A47" s="2525"/>
      <c r="B47" s="2023"/>
      <c r="C47" s="42" t="s">
        <v>13</v>
      </c>
      <c r="D47" s="43">
        <f>SUM(D40:D46)</f>
        <v>214547</v>
      </c>
      <c r="E47" s="455">
        <f>SUM(E40:E46)</f>
        <v>0</v>
      </c>
      <c r="F47" s="78"/>
      <c r="G47" s="35"/>
      <c r="H47" s="35"/>
    </row>
    <row r="48" spans="1:17" s="35" customFormat="1" ht="15.75" thickBot="1">
      <c r="A48" s="539"/>
      <c r="B48" s="80"/>
      <c r="C48" s="81"/>
    </row>
    <row r="49" spans="1:15" ht="83.25" customHeight="1">
      <c r="A49" s="82" t="s">
        <v>32</v>
      </c>
      <c r="B49" s="536" t="s">
        <v>171</v>
      </c>
      <c r="C49" s="84" t="s">
        <v>9</v>
      </c>
      <c r="D49" s="69" t="s">
        <v>34</v>
      </c>
      <c r="E49" s="85" t="s">
        <v>35</v>
      </c>
      <c r="F49" s="85" t="s">
        <v>36</v>
      </c>
      <c r="G49" s="85" t="s">
        <v>37</v>
      </c>
      <c r="H49" s="85" t="s">
        <v>38</v>
      </c>
      <c r="I49" s="85" t="s">
        <v>39</v>
      </c>
      <c r="J49" s="85" t="s">
        <v>40</v>
      </c>
      <c r="K49" s="86" t="s">
        <v>41</v>
      </c>
    </row>
    <row r="50" spans="1:15" ht="17.25" customHeight="1">
      <c r="A50" s="2018" t="s">
        <v>408</v>
      </c>
      <c r="B50" s="2526"/>
      <c r="C50" s="87" t="s">
        <v>43</v>
      </c>
      <c r="D50" s="30"/>
      <c r="E50" s="31"/>
      <c r="F50" s="31"/>
      <c r="G50" s="31"/>
      <c r="H50" s="31"/>
      <c r="I50" s="31"/>
      <c r="J50" s="31"/>
      <c r="K50" s="34"/>
    </row>
    <row r="51" spans="1:15" ht="15" customHeight="1">
      <c r="A51" s="2523"/>
      <c r="B51" s="2527"/>
      <c r="C51" s="73">
        <v>2014</v>
      </c>
      <c r="D51" s="37"/>
      <c r="E51" s="38"/>
      <c r="F51" s="38"/>
      <c r="G51" s="38"/>
      <c r="H51" s="38"/>
      <c r="I51" s="38"/>
      <c r="J51" s="38"/>
      <c r="K51" s="88"/>
    </row>
    <row r="52" spans="1:15">
      <c r="A52" s="2523"/>
      <c r="B52" s="2527"/>
      <c r="C52" s="73">
        <v>2015</v>
      </c>
      <c r="D52" s="37"/>
      <c r="E52" s="38"/>
      <c r="F52" s="38"/>
      <c r="G52" s="38"/>
      <c r="H52" s="38"/>
      <c r="I52" s="38"/>
      <c r="J52" s="38"/>
      <c r="K52" s="88"/>
    </row>
    <row r="53" spans="1:15">
      <c r="A53" s="2523"/>
      <c r="B53" s="2527"/>
      <c r="C53" s="73">
        <v>2016</v>
      </c>
      <c r="D53" s="37">
        <v>2</v>
      </c>
      <c r="E53" s="38">
        <v>0</v>
      </c>
      <c r="F53" s="38">
        <v>0</v>
      </c>
      <c r="G53" s="38">
        <v>544</v>
      </c>
      <c r="H53" s="38">
        <v>0</v>
      </c>
      <c r="I53" s="38">
        <v>10</v>
      </c>
      <c r="J53" s="38">
        <v>226</v>
      </c>
      <c r="K53" s="88">
        <v>0</v>
      </c>
    </row>
    <row r="54" spans="1:15">
      <c r="A54" s="2523"/>
      <c r="B54" s="2527"/>
      <c r="C54" s="73">
        <v>2017</v>
      </c>
      <c r="D54" s="37">
        <v>2</v>
      </c>
      <c r="E54" s="38"/>
      <c r="F54" s="38"/>
      <c r="G54" s="38">
        <v>125</v>
      </c>
      <c r="H54" s="38">
        <v>20</v>
      </c>
      <c r="I54" s="38">
        <v>99</v>
      </c>
      <c r="J54" s="580">
        <v>165</v>
      </c>
      <c r="K54" s="88"/>
    </row>
    <row r="55" spans="1:15">
      <c r="A55" s="2523"/>
      <c r="B55" s="2527"/>
      <c r="C55" s="73">
        <v>2018</v>
      </c>
      <c r="D55" s="37"/>
      <c r="E55" s="38"/>
      <c r="F55" s="38"/>
      <c r="G55" s="38"/>
      <c r="H55" s="38"/>
      <c r="I55" s="38"/>
      <c r="J55" s="38"/>
      <c r="K55" s="88"/>
    </row>
    <row r="56" spans="1:15">
      <c r="A56" s="2523"/>
      <c r="B56" s="2527"/>
      <c r="C56" s="73">
        <v>2019</v>
      </c>
      <c r="D56" s="37"/>
      <c r="E56" s="38"/>
      <c r="F56" s="38"/>
      <c r="G56" s="38"/>
      <c r="H56" s="38"/>
      <c r="I56" s="38"/>
      <c r="J56" s="38"/>
      <c r="K56" s="88"/>
    </row>
    <row r="57" spans="1:15">
      <c r="A57" s="2523"/>
      <c r="B57" s="2527"/>
      <c r="C57" s="73">
        <v>2020</v>
      </c>
      <c r="D57" s="37"/>
      <c r="E57" s="38"/>
      <c r="F57" s="38"/>
      <c r="G57" s="38"/>
      <c r="H57" s="38"/>
      <c r="I57" s="38"/>
      <c r="J57" s="38"/>
      <c r="K57" s="93"/>
    </row>
    <row r="58" spans="1:15" ht="20.25" customHeight="1" thickBot="1">
      <c r="A58" s="2528"/>
      <c r="B58" s="2529"/>
      <c r="C58" s="42" t="s">
        <v>13</v>
      </c>
      <c r="D58" s="43">
        <f>SUM(D51:D57)</f>
        <v>4</v>
      </c>
      <c r="E58" s="44">
        <f>SUM(E51:E57)</f>
        <v>0</v>
      </c>
      <c r="F58" s="44">
        <f>SUM(F51:F57)</f>
        <v>0</v>
      </c>
      <c r="G58" s="44">
        <f>SUM(G51:G57)</f>
        <v>669</v>
      </c>
      <c r="H58" s="44">
        <f>SUM(H51:H57)</f>
        <v>20</v>
      </c>
      <c r="I58" s="44">
        <f t="shared" ref="I58" si="3">SUM(I51:I57)</f>
        <v>109</v>
      </c>
      <c r="J58" s="44">
        <f>SUM(J51:J57)</f>
        <v>391</v>
      </c>
      <c r="K58" s="48">
        <f>SUM(K50:K56)</f>
        <v>0</v>
      </c>
    </row>
    <row r="59" spans="1:15" ht="15.75" thickBot="1"/>
    <row r="60" spans="1:15" ht="21" customHeight="1">
      <c r="A60" s="2073" t="s">
        <v>44</v>
      </c>
      <c r="B60" s="540"/>
      <c r="C60" s="2074" t="s">
        <v>9</v>
      </c>
      <c r="D60" s="2417" t="s">
        <v>45</v>
      </c>
      <c r="E60" s="1541" t="s">
        <v>6</v>
      </c>
      <c r="F60" s="1542"/>
      <c r="G60" s="1542"/>
      <c r="H60" s="1542"/>
      <c r="I60" s="1542"/>
      <c r="J60" s="1542"/>
      <c r="K60" s="1542"/>
      <c r="L60" s="1543"/>
    </row>
    <row r="61" spans="1:15" ht="115.5" customHeight="1">
      <c r="A61" s="2428"/>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2516" t="s">
        <v>409</v>
      </c>
      <c r="B62" s="1899"/>
      <c r="C62" s="106">
        <v>2014</v>
      </c>
      <c r="D62" s="107"/>
      <c r="E62" s="108"/>
      <c r="F62" s="109"/>
      <c r="G62" s="109"/>
      <c r="H62" s="109"/>
      <c r="I62" s="109"/>
      <c r="J62" s="109"/>
      <c r="K62" s="109"/>
      <c r="L62" s="34"/>
      <c r="M62" s="7"/>
      <c r="N62" s="7"/>
      <c r="O62" s="7"/>
    </row>
    <row r="63" spans="1:15">
      <c r="A63" s="2509"/>
      <c r="B63" s="1899"/>
      <c r="C63" s="110">
        <v>2015</v>
      </c>
      <c r="D63" s="111">
        <v>3</v>
      </c>
      <c r="E63" s="112">
        <v>3</v>
      </c>
      <c r="F63" s="38"/>
      <c r="G63" s="38"/>
      <c r="H63" s="38"/>
      <c r="I63" s="38"/>
      <c r="J63" s="38"/>
      <c r="K63" s="38"/>
      <c r="L63" s="88"/>
      <c r="M63" s="7"/>
      <c r="N63" s="7"/>
      <c r="O63" s="7"/>
    </row>
    <row r="64" spans="1:15">
      <c r="A64" s="2509"/>
      <c r="B64" s="1899"/>
      <c r="C64" s="110">
        <v>2016</v>
      </c>
      <c r="D64" s="111">
        <v>151</v>
      </c>
      <c r="E64" s="112">
        <v>151</v>
      </c>
      <c r="F64" s="38">
        <v>0</v>
      </c>
      <c r="G64" s="38">
        <v>0</v>
      </c>
      <c r="H64" s="38">
        <v>0</v>
      </c>
      <c r="I64" s="38">
        <v>0</v>
      </c>
      <c r="J64" s="38">
        <v>0</v>
      </c>
      <c r="K64" s="38">
        <v>0</v>
      </c>
      <c r="L64" s="88">
        <v>0</v>
      </c>
      <c r="M64" s="7"/>
      <c r="N64" s="7"/>
      <c r="O64" s="7"/>
    </row>
    <row r="65" spans="1:20">
      <c r="A65" s="2509"/>
      <c r="B65" s="1899"/>
      <c r="C65" s="110">
        <v>2017</v>
      </c>
      <c r="D65" s="111">
        <v>70</v>
      </c>
      <c r="E65" s="112">
        <v>70</v>
      </c>
      <c r="F65" s="38"/>
      <c r="G65" s="38"/>
      <c r="H65" s="38"/>
      <c r="I65" s="38"/>
      <c r="J65" s="38"/>
      <c r="K65" s="38"/>
      <c r="L65" s="88"/>
      <c r="M65" s="7"/>
      <c r="N65" s="7"/>
      <c r="O65" s="7"/>
    </row>
    <row r="66" spans="1:20">
      <c r="A66" s="2509"/>
      <c r="B66" s="1899"/>
      <c r="C66" s="110">
        <v>2018</v>
      </c>
      <c r="D66" s="111"/>
      <c r="E66" s="112"/>
      <c r="F66" s="38"/>
      <c r="G66" s="38"/>
      <c r="H66" s="38"/>
      <c r="I66" s="38"/>
      <c r="J66" s="38"/>
      <c r="K66" s="38"/>
      <c r="L66" s="88"/>
      <c r="M66" s="7"/>
      <c r="N66" s="7"/>
      <c r="O66" s="7"/>
    </row>
    <row r="67" spans="1:20" ht="17.25" customHeight="1">
      <c r="A67" s="2509"/>
      <c r="B67" s="1899"/>
      <c r="C67" s="110">
        <v>2019</v>
      </c>
      <c r="D67" s="111"/>
      <c r="E67" s="112"/>
      <c r="F67" s="38"/>
      <c r="G67" s="38"/>
      <c r="H67" s="38"/>
      <c r="I67" s="38"/>
      <c r="J67" s="38"/>
      <c r="K67" s="38"/>
      <c r="L67" s="88"/>
      <c r="M67" s="7"/>
      <c r="N67" s="7"/>
      <c r="O67" s="7"/>
    </row>
    <row r="68" spans="1:20" ht="16.5" customHeight="1">
      <c r="A68" s="2509"/>
      <c r="B68" s="1899"/>
      <c r="C68" s="110">
        <v>2020</v>
      </c>
      <c r="D68" s="111"/>
      <c r="E68" s="112"/>
      <c r="F68" s="38"/>
      <c r="G68" s="38"/>
      <c r="H68" s="38"/>
      <c r="I68" s="38"/>
      <c r="J68" s="38"/>
      <c r="K68" s="38"/>
      <c r="L68" s="88"/>
      <c r="M68" s="78"/>
      <c r="N68" s="78"/>
      <c r="O68" s="78"/>
    </row>
    <row r="69" spans="1:20" ht="65.25" customHeight="1" thickBot="1">
      <c r="A69" s="1980"/>
      <c r="B69" s="1900"/>
      <c r="C69" s="113" t="s">
        <v>13</v>
      </c>
      <c r="D69" s="114">
        <f>SUM(D62:D68)</f>
        <v>224</v>
      </c>
      <c r="E69" s="115">
        <f>SUM(E62:E68)</f>
        <v>224</v>
      </c>
      <c r="F69" s="116">
        <f t="shared" ref="F69:I69" si="4">SUM(F62:F68)</f>
        <v>0</v>
      </c>
      <c r="G69" s="116">
        <f t="shared" si="4"/>
        <v>0</v>
      </c>
      <c r="H69" s="116">
        <f t="shared" si="4"/>
        <v>0</v>
      </c>
      <c r="I69" s="116">
        <f t="shared" si="4"/>
        <v>0</v>
      </c>
      <c r="J69" s="116"/>
      <c r="K69" s="116">
        <f>SUM(K62:K68)</f>
        <v>0</v>
      </c>
      <c r="L69" s="117">
        <f>SUM(L62:L68)</f>
        <v>0</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1544" t="s">
        <v>47</v>
      </c>
      <c r="B71" s="1545"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2518" t="s">
        <v>410</v>
      </c>
      <c r="B72" s="1899"/>
      <c r="C72" s="72">
        <v>2014</v>
      </c>
      <c r="D72" s="131"/>
      <c r="E72" s="131"/>
      <c r="F72" s="131"/>
      <c r="G72" s="132">
        <f>SUM(D72:F72)</f>
        <v>0</v>
      </c>
      <c r="H72" s="30"/>
      <c r="I72" s="133"/>
      <c r="J72" s="109"/>
      <c r="K72" s="109"/>
      <c r="L72" s="109"/>
      <c r="M72" s="109"/>
      <c r="N72" s="109"/>
      <c r="O72" s="134"/>
    </row>
    <row r="73" spans="1:20">
      <c r="A73" s="2505"/>
      <c r="B73" s="1899"/>
      <c r="C73" s="73">
        <v>2015</v>
      </c>
      <c r="D73" s="135"/>
      <c r="E73" s="135"/>
      <c r="F73" s="135"/>
      <c r="G73" s="132"/>
      <c r="H73" s="37"/>
      <c r="I73" s="37"/>
      <c r="J73" s="38"/>
      <c r="K73" s="38"/>
      <c r="L73" s="38"/>
      <c r="M73" s="38"/>
      <c r="N73" s="38"/>
      <c r="O73" s="88"/>
    </row>
    <row r="74" spans="1:20">
      <c r="A74" s="2505"/>
      <c r="B74" s="1899"/>
      <c r="C74" s="73">
        <v>2016</v>
      </c>
      <c r="D74" s="135"/>
      <c r="E74" s="135">
        <v>0</v>
      </c>
      <c r="F74" s="135">
        <v>0</v>
      </c>
      <c r="G74" s="132">
        <f t="shared" ref="G74:G78" si="5">SUM(D74:F74)</f>
        <v>0</v>
      </c>
      <c r="H74" s="37"/>
      <c r="I74" s="37">
        <v>0</v>
      </c>
      <c r="J74" s="38">
        <v>0</v>
      </c>
      <c r="K74" s="38">
        <v>0</v>
      </c>
      <c r="L74" s="38">
        <v>0</v>
      </c>
      <c r="M74" s="38">
        <v>0</v>
      </c>
      <c r="N74" s="38">
        <v>0</v>
      </c>
      <c r="O74" s="88">
        <v>0</v>
      </c>
    </row>
    <row r="75" spans="1:20">
      <c r="A75" s="2505"/>
      <c r="B75" s="1899"/>
      <c r="C75" s="73">
        <v>2017</v>
      </c>
      <c r="D75" s="135">
        <v>8</v>
      </c>
      <c r="E75" s="135"/>
      <c r="F75" s="135"/>
      <c r="G75" s="132">
        <f t="shared" si="5"/>
        <v>8</v>
      </c>
      <c r="H75" s="37">
        <v>8</v>
      </c>
      <c r="I75" s="37"/>
      <c r="J75" s="38"/>
      <c r="K75" s="38"/>
      <c r="L75" s="38"/>
      <c r="M75" s="38"/>
      <c r="N75" s="38"/>
      <c r="O75" s="88"/>
    </row>
    <row r="76" spans="1:20">
      <c r="A76" s="2505"/>
      <c r="B76" s="1899"/>
      <c r="C76" s="73">
        <v>2018</v>
      </c>
      <c r="D76" s="135"/>
      <c r="E76" s="135"/>
      <c r="F76" s="135"/>
      <c r="G76" s="132">
        <f t="shared" si="5"/>
        <v>0</v>
      </c>
      <c r="H76" s="37"/>
      <c r="I76" s="37"/>
      <c r="J76" s="38"/>
      <c r="K76" s="38"/>
      <c r="L76" s="38"/>
      <c r="M76" s="38"/>
      <c r="N76" s="38"/>
      <c r="O76" s="88"/>
    </row>
    <row r="77" spans="1:20" ht="15.75" customHeight="1">
      <c r="A77" s="2505"/>
      <c r="B77" s="1899"/>
      <c r="C77" s="73">
        <v>2019</v>
      </c>
      <c r="D77" s="135"/>
      <c r="E77" s="135"/>
      <c r="F77" s="135"/>
      <c r="G77" s="132">
        <f t="shared" si="5"/>
        <v>0</v>
      </c>
      <c r="H77" s="37"/>
      <c r="I77" s="37"/>
      <c r="J77" s="38"/>
      <c r="K77" s="38"/>
      <c r="L77" s="38"/>
      <c r="M77" s="38"/>
      <c r="N77" s="38"/>
      <c r="O77" s="88"/>
    </row>
    <row r="78" spans="1:20" ht="17.25" customHeight="1">
      <c r="A78" s="2505"/>
      <c r="B78" s="1899"/>
      <c r="C78" s="73">
        <v>2020</v>
      </c>
      <c r="D78" s="135"/>
      <c r="E78" s="135"/>
      <c r="F78" s="135"/>
      <c r="G78" s="132">
        <f t="shared" si="5"/>
        <v>0</v>
      </c>
      <c r="H78" s="37"/>
      <c r="I78" s="37"/>
      <c r="J78" s="38"/>
      <c r="K78" s="38"/>
      <c r="L78" s="38"/>
      <c r="M78" s="38"/>
      <c r="N78" s="38"/>
      <c r="O78" s="88"/>
    </row>
    <row r="79" spans="1:20" ht="20.25" customHeight="1" thickBot="1">
      <c r="A79" s="1980"/>
      <c r="B79" s="1900"/>
      <c r="C79" s="136" t="s">
        <v>13</v>
      </c>
      <c r="D79" s="114">
        <f>SUM(D72:D78)</f>
        <v>8</v>
      </c>
      <c r="E79" s="114">
        <f>SUM(E72:E78)</f>
        <v>0</v>
      </c>
      <c r="F79" s="114">
        <f>SUM(F72:F78)</f>
        <v>0</v>
      </c>
      <c r="G79" s="137">
        <f>SUM(G72:G78)</f>
        <v>8</v>
      </c>
      <c r="H79" s="138">
        <v>0</v>
      </c>
      <c r="I79" s="139">
        <f t="shared" ref="I79:O79" si="6">SUM(I72:I78)</f>
        <v>0</v>
      </c>
      <c r="J79" s="116">
        <f t="shared" si="6"/>
        <v>0</v>
      </c>
      <c r="K79" s="116">
        <f t="shared" si="6"/>
        <v>0</v>
      </c>
      <c r="L79" s="116">
        <f t="shared" si="6"/>
        <v>0</v>
      </c>
      <c r="M79" s="116">
        <f t="shared" si="6"/>
        <v>0</v>
      </c>
      <c r="N79" s="116">
        <f t="shared" si="6"/>
        <v>0</v>
      </c>
      <c r="O79" s="117">
        <f t="shared" si="6"/>
        <v>0</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1546" t="s">
        <v>56</v>
      </c>
      <c r="B84" s="1547" t="s">
        <v>178</v>
      </c>
      <c r="C84" s="149" t="s">
        <v>9</v>
      </c>
      <c r="D84" s="150" t="s">
        <v>58</v>
      </c>
      <c r="E84" s="151" t="s">
        <v>59</v>
      </c>
      <c r="F84" s="152" t="s">
        <v>60</v>
      </c>
      <c r="G84" s="152" t="s">
        <v>61</v>
      </c>
      <c r="H84" s="152" t="s">
        <v>62</v>
      </c>
      <c r="I84" s="152" t="s">
        <v>63</v>
      </c>
      <c r="J84" s="152" t="s">
        <v>64</v>
      </c>
      <c r="K84" s="153" t="s">
        <v>65</v>
      </c>
    </row>
    <row r="85" spans="1:16" ht="15" customHeight="1">
      <c r="A85" s="2519"/>
      <c r="B85" s="1899"/>
      <c r="C85" s="72">
        <v>2014</v>
      </c>
      <c r="D85" s="154"/>
      <c r="E85" s="155"/>
      <c r="F85" s="31"/>
      <c r="G85" s="31"/>
      <c r="H85" s="31"/>
      <c r="I85" s="31"/>
      <c r="J85" s="31"/>
      <c r="K85" s="34"/>
    </row>
    <row r="86" spans="1:16">
      <c r="A86" s="2520"/>
      <c r="B86" s="1899"/>
      <c r="C86" s="73">
        <v>2015</v>
      </c>
      <c r="D86" s="156"/>
      <c r="E86" s="112"/>
      <c r="F86" s="38"/>
      <c r="G86" s="38"/>
      <c r="H86" s="38"/>
      <c r="I86" s="38"/>
      <c r="J86" s="38"/>
      <c r="K86" s="88"/>
    </row>
    <row r="87" spans="1:16">
      <c r="A87" s="2520"/>
      <c r="B87" s="1899"/>
      <c r="C87" s="73">
        <v>2016</v>
      </c>
      <c r="D87" s="156">
        <v>0</v>
      </c>
      <c r="E87" s="112"/>
      <c r="F87" s="38"/>
      <c r="G87" s="38"/>
      <c r="H87" s="38"/>
      <c r="I87" s="38"/>
      <c r="J87" s="38"/>
      <c r="K87" s="88"/>
    </row>
    <row r="88" spans="1:16">
      <c r="A88" s="2520"/>
      <c r="B88" s="1899"/>
      <c r="C88" s="73">
        <v>2017</v>
      </c>
      <c r="D88" s="156">
        <v>1</v>
      </c>
      <c r="E88" s="112">
        <v>1</v>
      </c>
      <c r="F88" s="38"/>
      <c r="G88" s="38"/>
      <c r="H88" s="38"/>
      <c r="I88" s="38"/>
      <c r="J88" s="38"/>
      <c r="K88" s="88"/>
    </row>
    <row r="89" spans="1:16">
      <c r="A89" s="2520"/>
      <c r="B89" s="1899"/>
      <c r="C89" s="73">
        <v>2018</v>
      </c>
      <c r="D89" s="156"/>
      <c r="E89" s="112"/>
      <c r="F89" s="38"/>
      <c r="G89" s="38"/>
      <c r="H89" s="38"/>
      <c r="I89" s="38"/>
      <c r="J89" s="38"/>
      <c r="K89" s="88"/>
    </row>
    <row r="90" spans="1:16">
      <c r="A90" s="2520"/>
      <c r="B90" s="1899"/>
      <c r="C90" s="73">
        <v>2019</v>
      </c>
      <c r="D90" s="156"/>
      <c r="E90" s="112"/>
      <c r="F90" s="38"/>
      <c r="G90" s="38"/>
      <c r="H90" s="38"/>
      <c r="I90" s="38"/>
      <c r="J90" s="38"/>
      <c r="K90" s="88"/>
    </row>
    <row r="91" spans="1:16">
      <c r="A91" s="2520"/>
      <c r="B91" s="1899"/>
      <c r="C91" s="73">
        <v>2020</v>
      </c>
      <c r="D91" s="156"/>
      <c r="E91" s="112"/>
      <c r="F91" s="38"/>
      <c r="G91" s="38"/>
      <c r="H91" s="38"/>
      <c r="I91" s="38"/>
      <c r="J91" s="38"/>
      <c r="K91" s="88"/>
    </row>
    <row r="92" spans="1:16" ht="18" customHeight="1" thickBot="1">
      <c r="A92" s="1940"/>
      <c r="B92" s="1900"/>
      <c r="C92" s="136" t="s">
        <v>13</v>
      </c>
      <c r="D92" s="157">
        <f t="shared" ref="D92:I92" si="7">SUM(D85:D91)</f>
        <v>1</v>
      </c>
      <c r="E92" s="115">
        <f t="shared" si="7"/>
        <v>1</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405" t="s">
        <v>68</v>
      </c>
      <c r="B96" s="2407" t="s">
        <v>179</v>
      </c>
      <c r="C96" s="2413" t="s">
        <v>9</v>
      </c>
      <c r="D96" s="1916" t="s">
        <v>70</v>
      </c>
      <c r="E96" s="1917"/>
      <c r="F96" s="162" t="s">
        <v>71</v>
      </c>
      <c r="G96" s="1548"/>
      <c r="H96" s="1548"/>
      <c r="I96" s="1548"/>
      <c r="J96" s="1548"/>
      <c r="K96" s="1548"/>
      <c r="L96" s="1548"/>
      <c r="M96" s="1549"/>
      <c r="N96" s="165"/>
      <c r="O96" s="165"/>
      <c r="P96" s="165"/>
    </row>
    <row r="97" spans="1:16" ht="100.5" customHeight="1">
      <c r="A97" s="2406"/>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2516"/>
      <c r="B98" s="1899"/>
      <c r="C98" s="106">
        <v>2014</v>
      </c>
      <c r="D98" s="30"/>
      <c r="E98" s="31"/>
      <c r="F98" s="174"/>
      <c r="G98" s="175"/>
      <c r="H98" s="175"/>
      <c r="I98" s="175"/>
      <c r="J98" s="175"/>
      <c r="K98" s="175"/>
      <c r="L98" s="175"/>
      <c r="M98" s="176"/>
      <c r="N98" s="165"/>
      <c r="O98" s="165"/>
      <c r="P98" s="165"/>
    </row>
    <row r="99" spans="1:16" ht="16.5" customHeight="1">
      <c r="A99" s="2509"/>
      <c r="B99" s="1899"/>
      <c r="C99" s="110">
        <v>2015</v>
      </c>
      <c r="D99" s="37"/>
      <c r="E99" s="38"/>
      <c r="F99" s="177"/>
      <c r="G99" s="178"/>
      <c r="H99" s="178"/>
      <c r="I99" s="178"/>
      <c r="J99" s="178"/>
      <c r="K99" s="178"/>
      <c r="L99" s="178"/>
      <c r="M99" s="179"/>
      <c r="N99" s="165"/>
      <c r="O99" s="165"/>
      <c r="P99" s="165"/>
    </row>
    <row r="100" spans="1:16" ht="16.5" customHeight="1">
      <c r="A100" s="2509"/>
      <c r="B100" s="1899"/>
      <c r="C100" s="110">
        <v>2016</v>
      </c>
      <c r="D100" s="37">
        <v>0</v>
      </c>
      <c r="E100" s="38">
        <v>0</v>
      </c>
      <c r="F100" s="177"/>
      <c r="G100" s="178"/>
      <c r="H100" s="178"/>
      <c r="I100" s="178"/>
      <c r="J100" s="178"/>
      <c r="K100" s="178"/>
      <c r="L100" s="178"/>
      <c r="M100" s="179"/>
      <c r="N100" s="165"/>
      <c r="O100" s="165"/>
      <c r="P100" s="165"/>
    </row>
    <row r="101" spans="1:16" ht="16.5" customHeight="1">
      <c r="A101" s="2509"/>
      <c r="B101" s="1899"/>
      <c r="C101" s="110">
        <v>2017</v>
      </c>
      <c r="D101" s="37"/>
      <c r="E101" s="38"/>
      <c r="F101" s="177"/>
      <c r="G101" s="178"/>
      <c r="H101" s="178"/>
      <c r="I101" s="178"/>
      <c r="J101" s="178"/>
      <c r="K101" s="178"/>
      <c r="L101" s="178"/>
      <c r="M101" s="179"/>
      <c r="N101" s="165"/>
      <c r="O101" s="165"/>
      <c r="P101" s="165"/>
    </row>
    <row r="102" spans="1:16" ht="15.75" customHeight="1">
      <c r="A102" s="2509"/>
      <c r="B102" s="1899"/>
      <c r="C102" s="110">
        <v>2018</v>
      </c>
      <c r="D102" s="37"/>
      <c r="E102" s="38"/>
      <c r="F102" s="177"/>
      <c r="G102" s="178"/>
      <c r="H102" s="178"/>
      <c r="I102" s="178"/>
      <c r="J102" s="178"/>
      <c r="K102" s="178"/>
      <c r="L102" s="178"/>
      <c r="M102" s="179"/>
      <c r="N102" s="165"/>
      <c r="O102" s="165"/>
      <c r="P102" s="165"/>
    </row>
    <row r="103" spans="1:16" ht="14.25" customHeight="1">
      <c r="A103" s="2509"/>
      <c r="B103" s="1899"/>
      <c r="C103" s="110">
        <v>2019</v>
      </c>
      <c r="D103" s="37"/>
      <c r="E103" s="38"/>
      <c r="F103" s="177"/>
      <c r="G103" s="178"/>
      <c r="H103" s="178"/>
      <c r="I103" s="178"/>
      <c r="J103" s="178"/>
      <c r="K103" s="178"/>
      <c r="L103" s="178"/>
      <c r="M103" s="179"/>
      <c r="N103" s="165"/>
      <c r="O103" s="165"/>
      <c r="P103" s="165"/>
    </row>
    <row r="104" spans="1:16" ht="14.25" customHeight="1">
      <c r="A104" s="2509"/>
      <c r="B104" s="1899"/>
      <c r="C104" s="110">
        <v>2020</v>
      </c>
      <c r="D104" s="37"/>
      <c r="E104" s="38"/>
      <c r="F104" s="177"/>
      <c r="G104" s="178"/>
      <c r="H104" s="178"/>
      <c r="I104" s="178"/>
      <c r="J104" s="178"/>
      <c r="K104" s="178"/>
      <c r="L104" s="178"/>
      <c r="M104" s="179"/>
      <c r="N104" s="165"/>
      <c r="O104" s="165"/>
      <c r="P104" s="165"/>
    </row>
    <row r="105" spans="1:16" ht="19.5" customHeight="1" thickBot="1">
      <c r="A105" s="1915"/>
      <c r="B105" s="1900"/>
      <c r="C105" s="113" t="s">
        <v>13</v>
      </c>
      <c r="D105" s="139">
        <f>SUM(D98:D104)</f>
        <v>0</v>
      </c>
      <c r="E105" s="116">
        <f t="shared" ref="E105:K105" si="8">SUM(E98:E104)</f>
        <v>0</v>
      </c>
      <c r="F105" s="180">
        <f t="shared" si="8"/>
        <v>0</v>
      </c>
      <c r="G105" s="181">
        <f t="shared" si="8"/>
        <v>0</v>
      </c>
      <c r="H105" s="181">
        <f t="shared" si="8"/>
        <v>0</v>
      </c>
      <c r="I105" s="181">
        <f>SUM(I98:I104)</f>
        <v>0</v>
      </c>
      <c r="J105" s="181">
        <f t="shared" si="8"/>
        <v>0</v>
      </c>
      <c r="K105" s="181">
        <f t="shared" si="8"/>
        <v>0</v>
      </c>
      <c r="L105" s="181">
        <f>SUM(L98:L104)</f>
        <v>0</v>
      </c>
      <c r="M105" s="182">
        <f>SUM(M98:M104)</f>
        <v>0</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405" t="s">
        <v>77</v>
      </c>
      <c r="B107" s="2407" t="s">
        <v>179</v>
      </c>
      <c r="C107" s="2413" t="s">
        <v>9</v>
      </c>
      <c r="D107" s="2414" t="s">
        <v>78</v>
      </c>
      <c r="E107" s="162" t="s">
        <v>79</v>
      </c>
      <c r="F107" s="1548"/>
      <c r="G107" s="1548"/>
      <c r="H107" s="1548"/>
      <c r="I107" s="1548"/>
      <c r="J107" s="1548"/>
      <c r="K107" s="1548"/>
      <c r="L107" s="1549"/>
      <c r="M107" s="185"/>
      <c r="N107" s="185"/>
    </row>
    <row r="108" spans="1:16" ht="103.5" customHeight="1">
      <c r="A108" s="2406"/>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2516"/>
      <c r="B109" s="1899"/>
      <c r="C109" s="106">
        <v>2014</v>
      </c>
      <c r="D109" s="31"/>
      <c r="E109" s="174"/>
      <c r="F109" s="175"/>
      <c r="G109" s="175"/>
      <c r="H109" s="175"/>
      <c r="I109" s="175"/>
      <c r="J109" s="175"/>
      <c r="K109" s="175"/>
      <c r="L109" s="176"/>
      <c r="M109" s="185"/>
      <c r="N109" s="185"/>
    </row>
    <row r="110" spans="1:16">
      <c r="A110" s="2509"/>
      <c r="B110" s="1899"/>
      <c r="C110" s="110">
        <v>2015</v>
      </c>
      <c r="D110" s="38"/>
      <c r="E110" s="177"/>
      <c r="F110" s="178"/>
      <c r="G110" s="178"/>
      <c r="H110" s="178"/>
      <c r="I110" s="178"/>
      <c r="J110" s="178"/>
      <c r="K110" s="178"/>
      <c r="L110" s="179"/>
      <c r="M110" s="185"/>
      <c r="N110" s="185"/>
    </row>
    <row r="111" spans="1:16">
      <c r="A111" s="2509"/>
      <c r="B111" s="1899"/>
      <c r="C111" s="110">
        <v>2016</v>
      </c>
      <c r="D111" s="38">
        <v>0</v>
      </c>
      <c r="E111" s="177"/>
      <c r="F111" s="178"/>
      <c r="G111" s="178"/>
      <c r="H111" s="178"/>
      <c r="I111" s="178"/>
      <c r="J111" s="178"/>
      <c r="K111" s="178"/>
      <c r="L111" s="179"/>
      <c r="M111" s="185"/>
      <c r="N111" s="185"/>
    </row>
    <row r="112" spans="1:16">
      <c r="A112" s="2509"/>
      <c r="B112" s="1899"/>
      <c r="C112" s="110">
        <v>2017</v>
      </c>
      <c r="D112" s="38"/>
      <c r="E112" s="177"/>
      <c r="F112" s="178"/>
      <c r="G112" s="178"/>
      <c r="H112" s="178"/>
      <c r="I112" s="178"/>
      <c r="J112" s="178"/>
      <c r="K112" s="178"/>
      <c r="L112" s="179"/>
      <c r="M112" s="185"/>
      <c r="N112" s="185"/>
    </row>
    <row r="113" spans="1:14">
      <c r="A113" s="2509"/>
      <c r="B113" s="1899"/>
      <c r="C113" s="110">
        <v>2018</v>
      </c>
      <c r="D113" s="38"/>
      <c r="E113" s="177"/>
      <c r="F113" s="178"/>
      <c r="G113" s="178"/>
      <c r="H113" s="178"/>
      <c r="I113" s="178"/>
      <c r="J113" s="178"/>
      <c r="K113" s="178"/>
      <c r="L113" s="179"/>
      <c r="M113" s="185"/>
      <c r="N113" s="185"/>
    </row>
    <row r="114" spans="1:14">
      <c r="A114" s="2509"/>
      <c r="B114" s="1899"/>
      <c r="C114" s="110">
        <v>2019</v>
      </c>
      <c r="D114" s="38"/>
      <c r="E114" s="177"/>
      <c r="F114" s="178"/>
      <c r="G114" s="178"/>
      <c r="H114" s="178"/>
      <c r="I114" s="178"/>
      <c r="J114" s="178"/>
      <c r="K114" s="178"/>
      <c r="L114" s="179"/>
      <c r="M114" s="185"/>
      <c r="N114" s="185"/>
    </row>
    <row r="115" spans="1:14">
      <c r="A115" s="2509"/>
      <c r="B115" s="1899"/>
      <c r="C115" s="110">
        <v>2020</v>
      </c>
      <c r="D115" s="38"/>
      <c r="E115" s="177"/>
      <c r="F115" s="178"/>
      <c r="G115" s="178"/>
      <c r="H115" s="178"/>
      <c r="I115" s="178"/>
      <c r="J115" s="178"/>
      <c r="K115" s="178"/>
      <c r="L115" s="179"/>
      <c r="M115" s="185"/>
      <c r="N115" s="185"/>
    </row>
    <row r="116" spans="1:14" ht="25.5" customHeight="1" thickBot="1">
      <c r="A116" s="1915"/>
      <c r="B116" s="1900"/>
      <c r="C116" s="113" t="s">
        <v>13</v>
      </c>
      <c r="D116" s="116">
        <f t="shared" ref="D116:I116" si="9">SUM(D109:D115)</f>
        <v>0</v>
      </c>
      <c r="E116" s="180">
        <f t="shared" si="9"/>
        <v>0</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405" t="s">
        <v>81</v>
      </c>
      <c r="B118" s="2407" t="s">
        <v>179</v>
      </c>
      <c r="C118" s="2413" t="s">
        <v>9</v>
      </c>
      <c r="D118" s="2414" t="s">
        <v>82</v>
      </c>
      <c r="E118" s="162" t="s">
        <v>79</v>
      </c>
      <c r="F118" s="1548"/>
      <c r="G118" s="1548"/>
      <c r="H118" s="1548"/>
      <c r="I118" s="1548"/>
      <c r="J118" s="1548"/>
      <c r="K118" s="1548"/>
      <c r="L118" s="1549"/>
      <c r="M118" s="185"/>
      <c r="N118" s="185"/>
    </row>
    <row r="119" spans="1:14" ht="120.75" customHeight="1">
      <c r="A119" s="2406"/>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2516" t="s">
        <v>411</v>
      </c>
      <c r="B120" s="1899"/>
      <c r="C120" s="106">
        <v>2014</v>
      </c>
      <c r="D120" s="31"/>
      <c r="E120" s="174"/>
      <c r="F120" s="175"/>
      <c r="G120" s="175"/>
      <c r="H120" s="175"/>
      <c r="I120" s="175"/>
      <c r="J120" s="175"/>
      <c r="K120" s="175"/>
      <c r="L120" s="176"/>
      <c r="M120" s="185"/>
      <c r="N120" s="185"/>
    </row>
    <row r="121" spans="1:14">
      <c r="A121" s="2509"/>
      <c r="B121" s="1899"/>
      <c r="C121" s="110">
        <v>2015</v>
      </c>
      <c r="D121" s="38"/>
      <c r="E121" s="177"/>
      <c r="F121" s="178"/>
      <c r="G121" s="178"/>
      <c r="H121" s="178"/>
      <c r="I121" s="178"/>
      <c r="J121" s="178"/>
      <c r="K121" s="178"/>
      <c r="L121" s="179"/>
      <c r="M121" s="185"/>
      <c r="N121" s="185"/>
    </row>
    <row r="122" spans="1:14">
      <c r="A122" s="2509"/>
      <c r="B122" s="1899"/>
      <c r="C122" s="110">
        <v>2016</v>
      </c>
      <c r="D122" s="38">
        <v>2</v>
      </c>
      <c r="E122" s="177">
        <v>2</v>
      </c>
      <c r="F122" s="178"/>
      <c r="G122" s="178"/>
      <c r="H122" s="178"/>
      <c r="I122" s="178"/>
      <c r="J122" s="178"/>
      <c r="K122" s="178"/>
      <c r="L122" s="179"/>
      <c r="M122" s="185"/>
      <c r="N122" s="185"/>
    </row>
    <row r="123" spans="1:14">
      <c r="A123" s="2509"/>
      <c r="B123" s="1899"/>
      <c r="C123" s="110">
        <v>2017</v>
      </c>
      <c r="D123" s="38">
        <v>1</v>
      </c>
      <c r="E123" s="177">
        <v>1</v>
      </c>
      <c r="F123" s="178"/>
      <c r="G123" s="178"/>
      <c r="H123" s="178"/>
      <c r="I123" s="178"/>
      <c r="J123" s="178"/>
      <c r="K123" s="178"/>
      <c r="L123" s="179"/>
      <c r="M123" s="185"/>
      <c r="N123" s="185"/>
    </row>
    <row r="124" spans="1:14">
      <c r="A124" s="2509"/>
      <c r="B124" s="1899"/>
      <c r="C124" s="110">
        <v>2018</v>
      </c>
      <c r="D124" s="38"/>
      <c r="E124" s="177"/>
      <c r="F124" s="178"/>
      <c r="G124" s="178"/>
      <c r="H124" s="178"/>
      <c r="I124" s="178"/>
      <c r="J124" s="178"/>
      <c r="K124" s="178"/>
      <c r="L124" s="179"/>
      <c r="M124" s="185"/>
      <c r="N124" s="185"/>
    </row>
    <row r="125" spans="1:14">
      <c r="A125" s="2509"/>
      <c r="B125" s="1899"/>
      <c r="C125" s="110">
        <v>2019</v>
      </c>
      <c r="D125" s="38"/>
      <c r="E125" s="177"/>
      <c r="F125" s="178"/>
      <c r="G125" s="178"/>
      <c r="H125" s="178"/>
      <c r="I125" s="178"/>
      <c r="J125" s="178"/>
      <c r="K125" s="178"/>
      <c r="L125" s="179"/>
      <c r="M125" s="185"/>
      <c r="N125" s="185"/>
    </row>
    <row r="126" spans="1:14">
      <c r="A126" s="2509"/>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3</v>
      </c>
      <c r="E127" s="180">
        <f t="shared" si="10"/>
        <v>3</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405" t="s">
        <v>84</v>
      </c>
      <c r="B129" s="2407" t="s">
        <v>179</v>
      </c>
      <c r="C129" s="1550" t="s">
        <v>9</v>
      </c>
      <c r="D129" s="189" t="s">
        <v>85</v>
      </c>
      <c r="E129" s="1551"/>
      <c r="F129" s="1551"/>
      <c r="G129" s="191"/>
      <c r="H129" s="185"/>
      <c r="I129" s="185"/>
      <c r="J129" s="185"/>
      <c r="K129" s="185"/>
      <c r="L129" s="185"/>
      <c r="M129" s="185"/>
      <c r="N129" s="185"/>
    </row>
    <row r="130" spans="1:16" ht="77.25" customHeight="1">
      <c r="A130" s="2406"/>
      <c r="B130" s="1912"/>
      <c r="C130" s="1528"/>
      <c r="D130" s="166" t="s">
        <v>86</v>
      </c>
      <c r="E130" s="193" t="s">
        <v>87</v>
      </c>
      <c r="F130" s="167" t="s">
        <v>88</v>
      </c>
      <c r="G130" s="194" t="s">
        <v>13</v>
      </c>
      <c r="H130" s="185"/>
      <c r="I130" s="185"/>
      <c r="J130" s="185"/>
      <c r="K130" s="185"/>
      <c r="L130" s="185"/>
      <c r="M130" s="185"/>
      <c r="N130" s="185"/>
    </row>
    <row r="131" spans="1:16" ht="15" customHeight="1">
      <c r="A131" s="2518"/>
      <c r="B131" s="1855"/>
      <c r="C131" s="479">
        <v>2015</v>
      </c>
      <c r="D131" s="90"/>
      <c r="E131" s="91"/>
      <c r="F131" s="91"/>
      <c r="G131" s="195"/>
      <c r="H131" s="185"/>
      <c r="I131" s="185"/>
      <c r="J131" s="185"/>
      <c r="K131" s="185"/>
      <c r="L131" s="185"/>
      <c r="M131" s="185"/>
      <c r="N131" s="185"/>
    </row>
    <row r="132" spans="1:16">
      <c r="A132" s="2505"/>
      <c r="B132" s="1855"/>
      <c r="C132" s="110">
        <v>2016</v>
      </c>
      <c r="D132" s="37">
        <v>0</v>
      </c>
      <c r="E132" s="38">
        <v>0</v>
      </c>
      <c r="F132" s="38">
        <v>1657</v>
      </c>
      <c r="G132" s="195">
        <f t="shared" ref="G132:G136" si="11">SUM(D132:F132)</f>
        <v>1657</v>
      </c>
      <c r="H132" s="185"/>
      <c r="I132" s="185"/>
      <c r="J132" s="185"/>
      <c r="K132" s="185"/>
      <c r="L132" s="185"/>
      <c r="M132" s="185"/>
      <c r="N132" s="185"/>
    </row>
    <row r="133" spans="1:16">
      <c r="A133" s="2505"/>
      <c r="B133" s="1855"/>
      <c r="C133" s="110">
        <v>2017</v>
      </c>
      <c r="D133" s="37">
        <v>0</v>
      </c>
      <c r="E133" s="38">
        <v>0</v>
      </c>
      <c r="F133" s="38">
        <v>979</v>
      </c>
      <c r="G133" s="195">
        <f t="shared" si="11"/>
        <v>979</v>
      </c>
      <c r="H133" s="185"/>
      <c r="I133" s="185"/>
      <c r="J133" s="185"/>
      <c r="K133" s="185"/>
      <c r="L133" s="185"/>
      <c r="M133" s="185"/>
      <c r="N133" s="185"/>
    </row>
    <row r="134" spans="1:16">
      <c r="A134" s="2505"/>
      <c r="B134" s="1855"/>
      <c r="C134" s="110">
        <v>2018</v>
      </c>
      <c r="D134" s="37"/>
      <c r="E134" s="38"/>
      <c r="F134" s="38"/>
      <c r="G134" s="195">
        <f t="shared" si="11"/>
        <v>0</v>
      </c>
      <c r="H134" s="185"/>
      <c r="I134" s="185"/>
      <c r="J134" s="185"/>
      <c r="K134" s="185"/>
      <c r="L134" s="185"/>
      <c r="M134" s="185"/>
      <c r="N134" s="185"/>
    </row>
    <row r="135" spans="1:16">
      <c r="A135" s="2505"/>
      <c r="B135" s="1855"/>
      <c r="C135" s="110">
        <v>2019</v>
      </c>
      <c r="D135" s="37"/>
      <c r="E135" s="38"/>
      <c r="F135" s="38"/>
      <c r="G135" s="195">
        <f t="shared" si="11"/>
        <v>0</v>
      </c>
      <c r="H135" s="185"/>
      <c r="I135" s="185"/>
      <c r="J135" s="185"/>
      <c r="K135" s="185"/>
      <c r="L135" s="185"/>
      <c r="M135" s="185"/>
      <c r="N135" s="185"/>
    </row>
    <row r="136" spans="1:16">
      <c r="A136" s="2505"/>
      <c r="B136" s="1855"/>
      <c r="C136" s="110">
        <v>2020</v>
      </c>
      <c r="D136" s="37"/>
      <c r="E136" s="38"/>
      <c r="F136" s="38"/>
      <c r="G136" s="195">
        <f t="shared" si="11"/>
        <v>0</v>
      </c>
      <c r="H136" s="185"/>
      <c r="I136" s="185"/>
      <c r="J136" s="185"/>
      <c r="K136" s="185"/>
      <c r="L136" s="185"/>
      <c r="M136" s="185"/>
      <c r="N136" s="185"/>
    </row>
    <row r="137" spans="1:16" ht="17.25" customHeight="1" thickBot="1">
      <c r="A137" s="1856"/>
      <c r="B137" s="1857"/>
      <c r="C137" s="113" t="s">
        <v>13</v>
      </c>
      <c r="D137" s="139">
        <f>SUM(D131:D136)</f>
        <v>0</v>
      </c>
      <c r="E137" s="139">
        <f>SUM(E131:E136)</f>
        <v>0</v>
      </c>
      <c r="F137" s="139">
        <f>SUM(F131:F136)</f>
        <v>2636</v>
      </c>
      <c r="G137" s="196">
        <f>SUM(G131:G136)</f>
        <v>2636</v>
      </c>
      <c r="H137" s="185"/>
      <c r="I137" s="185"/>
      <c r="J137" s="185"/>
      <c r="K137" s="185"/>
      <c r="L137" s="185"/>
      <c r="M137" s="185"/>
      <c r="N137" s="185"/>
    </row>
    <row r="138" spans="1:16" ht="17.25" customHeight="1">
      <c r="A138" s="1552"/>
      <c r="B138" s="445"/>
      <c r="C138" s="1553"/>
      <c r="D138" s="35"/>
      <c r="E138" s="35"/>
      <c r="F138" s="35"/>
      <c r="G138" s="1554"/>
      <c r="H138" s="185"/>
      <c r="I138" s="185"/>
      <c r="J138" s="185"/>
      <c r="K138" s="185"/>
      <c r="L138" s="185"/>
      <c r="M138" s="185"/>
      <c r="N138" s="185"/>
    </row>
    <row r="139" spans="1:16">
      <c r="A139" s="183"/>
      <c r="B139" s="183"/>
      <c r="C139" s="184"/>
      <c r="D139" s="7"/>
      <c r="E139" s="7"/>
      <c r="H139" s="185"/>
      <c r="I139" s="185"/>
      <c r="J139" s="185"/>
      <c r="K139" s="185"/>
      <c r="L139" s="185"/>
      <c r="M139" s="185"/>
      <c r="N139" s="185"/>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409" t="s">
        <v>91</v>
      </c>
      <c r="B142" s="2402" t="s">
        <v>179</v>
      </c>
      <c r="C142" s="2404" t="s">
        <v>9</v>
      </c>
      <c r="D142" s="1555" t="s">
        <v>92</v>
      </c>
      <c r="E142" s="1556"/>
      <c r="F142" s="1556"/>
      <c r="G142" s="1556"/>
      <c r="H142" s="1556"/>
      <c r="I142" s="1557"/>
      <c r="J142" s="2396" t="s">
        <v>93</v>
      </c>
      <c r="K142" s="2397"/>
      <c r="L142" s="2397"/>
      <c r="M142" s="2397"/>
      <c r="N142" s="2398"/>
      <c r="O142" s="165"/>
      <c r="P142" s="165"/>
    </row>
    <row r="143" spans="1:16" ht="130.5" customHeight="1">
      <c r="A143" s="2410"/>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2516"/>
      <c r="B144" s="1899"/>
      <c r="C144" s="106">
        <v>2014</v>
      </c>
      <c r="D144" s="30"/>
      <c r="E144" s="30"/>
      <c r="F144" s="31"/>
      <c r="G144" s="175"/>
      <c r="H144" s="175"/>
      <c r="I144" s="213">
        <f>D144+F144+G144+H144</f>
        <v>0</v>
      </c>
      <c r="J144" s="214"/>
      <c r="K144" s="215"/>
      <c r="L144" s="214"/>
      <c r="M144" s="215"/>
      <c r="N144" s="216"/>
      <c r="O144" s="165"/>
      <c r="P144" s="165"/>
    </row>
    <row r="145" spans="1:16" ht="19.5" customHeight="1">
      <c r="A145" s="2509"/>
      <c r="B145" s="1899"/>
      <c r="C145" s="110">
        <v>2015</v>
      </c>
      <c r="D145" s="1558">
        <v>2</v>
      </c>
      <c r="E145" s="1558"/>
      <c r="F145" s="1559">
        <v>1</v>
      </c>
      <c r="G145" s="1560"/>
      <c r="H145" s="1560"/>
      <c r="I145" s="1561">
        <v>2</v>
      </c>
      <c r="J145" s="1562"/>
      <c r="K145" s="218"/>
      <c r="L145" s="217"/>
      <c r="M145" s="218"/>
      <c r="N145" s="219"/>
      <c r="O145" s="165"/>
      <c r="P145" s="165"/>
    </row>
    <row r="146" spans="1:16" ht="20.25" customHeight="1">
      <c r="A146" s="2509"/>
      <c r="B146" s="1899"/>
      <c r="C146" s="110">
        <v>2016</v>
      </c>
      <c r="D146" s="37">
        <v>4</v>
      </c>
      <c r="E146" s="37">
        <v>6</v>
      </c>
      <c r="F146" s="38"/>
      <c r="G146" s="178"/>
      <c r="H146" s="178"/>
      <c r="I146" s="213">
        <f t="shared" ref="I146:I150" si="12">D146+F146+G146+H146</f>
        <v>4</v>
      </c>
      <c r="J146" s="217"/>
      <c r="K146" s="218"/>
      <c r="L146" s="217"/>
      <c r="M146" s="218"/>
      <c r="N146" s="219">
        <v>4</v>
      </c>
      <c r="O146" s="165"/>
      <c r="P146" s="165"/>
    </row>
    <row r="147" spans="1:16" ht="17.25" customHeight="1">
      <c r="A147" s="2509"/>
      <c r="B147" s="1899"/>
      <c r="C147" s="110">
        <v>2017</v>
      </c>
      <c r="D147" s="37">
        <v>4</v>
      </c>
      <c r="E147" s="37">
        <v>6</v>
      </c>
      <c r="F147" s="38"/>
      <c r="G147" s="178"/>
      <c r="H147" s="178"/>
      <c r="I147" s="213">
        <f t="shared" si="12"/>
        <v>4</v>
      </c>
      <c r="J147" s="217">
        <v>1</v>
      </c>
      <c r="K147" s="218"/>
      <c r="L147" s="217"/>
      <c r="M147" s="218"/>
      <c r="N147" s="219">
        <v>3</v>
      </c>
      <c r="O147" s="165"/>
      <c r="P147" s="165"/>
    </row>
    <row r="148" spans="1:16" ht="19.5" customHeight="1">
      <c r="A148" s="2509"/>
      <c r="B148" s="1899"/>
      <c r="C148" s="110">
        <v>2018</v>
      </c>
      <c r="D148" s="37"/>
      <c r="E148" s="37"/>
      <c r="F148" s="38"/>
      <c r="G148" s="178"/>
      <c r="H148" s="178"/>
      <c r="I148" s="213">
        <f t="shared" si="12"/>
        <v>0</v>
      </c>
      <c r="J148" s="217"/>
      <c r="K148" s="218"/>
      <c r="L148" s="217"/>
      <c r="M148" s="218"/>
      <c r="N148" s="219"/>
      <c r="O148" s="165"/>
      <c r="P148" s="165"/>
    </row>
    <row r="149" spans="1:16" ht="19.5" customHeight="1">
      <c r="A149" s="2509"/>
      <c r="B149" s="1899"/>
      <c r="C149" s="110">
        <v>2019</v>
      </c>
      <c r="D149" s="37"/>
      <c r="E149" s="37"/>
      <c r="F149" s="38"/>
      <c r="G149" s="178"/>
      <c r="H149" s="178"/>
      <c r="I149" s="213">
        <f t="shared" si="12"/>
        <v>0</v>
      </c>
      <c r="J149" s="217"/>
      <c r="K149" s="218"/>
      <c r="L149" s="217"/>
      <c r="M149" s="218"/>
      <c r="N149" s="219"/>
      <c r="O149" s="165"/>
      <c r="P149" s="165"/>
    </row>
    <row r="150" spans="1:16" ht="18.75" customHeight="1">
      <c r="A150" s="2509"/>
      <c r="B150" s="1899"/>
      <c r="C150" s="110">
        <v>2020</v>
      </c>
      <c r="D150" s="37"/>
      <c r="E150" s="37"/>
      <c r="F150" s="38"/>
      <c r="G150" s="178"/>
      <c r="H150" s="178"/>
      <c r="I150" s="213">
        <f t="shared" si="12"/>
        <v>0</v>
      </c>
      <c r="J150" s="217"/>
      <c r="K150" s="218"/>
      <c r="L150" s="217"/>
      <c r="M150" s="218"/>
      <c r="N150" s="219"/>
      <c r="O150" s="165"/>
      <c r="P150" s="165"/>
    </row>
    <row r="151" spans="1:16" ht="18" customHeight="1" thickBot="1">
      <c r="A151" s="1893"/>
      <c r="B151" s="1900"/>
      <c r="C151" s="113" t="s">
        <v>13</v>
      </c>
      <c r="D151" s="139">
        <f>SUM(D144:D150)</f>
        <v>10</v>
      </c>
      <c r="E151" s="139">
        <f t="shared" ref="E151:I151" si="13">SUM(E144:E150)</f>
        <v>12</v>
      </c>
      <c r="F151" s="139">
        <f t="shared" si="13"/>
        <v>1</v>
      </c>
      <c r="G151" s="139">
        <f t="shared" si="13"/>
        <v>0</v>
      </c>
      <c r="H151" s="139">
        <f t="shared" si="13"/>
        <v>0</v>
      </c>
      <c r="I151" s="220">
        <f t="shared" si="13"/>
        <v>10</v>
      </c>
      <c r="J151" s="221">
        <f>SUM(J144:J150)</f>
        <v>1</v>
      </c>
      <c r="K151" s="222">
        <f>SUM(K144:K150)</f>
        <v>0</v>
      </c>
      <c r="L151" s="221">
        <f>SUM(L144:L150)</f>
        <v>0</v>
      </c>
      <c r="M151" s="222">
        <f>SUM(M144:M150)</f>
        <v>0</v>
      </c>
      <c r="N151" s="223">
        <f>SUM(N144:N150)</f>
        <v>7</v>
      </c>
      <c r="O151" s="165"/>
      <c r="P151" s="165"/>
    </row>
    <row r="152" spans="1:16" ht="27" customHeight="1" thickBot="1">
      <c r="B152" s="224"/>
      <c r="O152" s="165"/>
      <c r="P152" s="165"/>
    </row>
    <row r="153" spans="1:16" ht="35.25" customHeight="1">
      <c r="A153" s="2400" t="s">
        <v>105</v>
      </c>
      <c r="B153" s="2402" t="s">
        <v>179</v>
      </c>
      <c r="C153" s="2403" t="s">
        <v>9</v>
      </c>
      <c r="D153" s="1563" t="s">
        <v>106</v>
      </c>
      <c r="E153" s="1563"/>
      <c r="F153" s="1564"/>
      <c r="G153" s="1564"/>
      <c r="H153" s="1563" t="s">
        <v>107</v>
      </c>
      <c r="I153" s="1563"/>
      <c r="J153" s="1565"/>
      <c r="K153" s="56"/>
      <c r="L153" s="56"/>
      <c r="M153" s="56"/>
      <c r="N153" s="56"/>
      <c r="O153" s="165"/>
      <c r="P153" s="165"/>
    </row>
    <row r="154" spans="1:16" ht="49.5" customHeight="1">
      <c r="A154" s="2517"/>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2516"/>
      <c r="B155" s="1899"/>
      <c r="C155" s="233">
        <v>2014</v>
      </c>
      <c r="D155" s="214"/>
      <c r="E155" s="175"/>
      <c r="F155" s="215"/>
      <c r="G155" s="213">
        <f>SUM(D155:F155)</f>
        <v>0</v>
      </c>
      <c r="H155" s="214"/>
      <c r="I155" s="175"/>
      <c r="J155" s="176"/>
      <c r="O155" s="165"/>
      <c r="P155" s="165"/>
    </row>
    <row r="156" spans="1:16" ht="19.5" customHeight="1">
      <c r="A156" s="2509"/>
      <c r="B156" s="1899"/>
      <c r="C156" s="234">
        <v>2015</v>
      </c>
      <c r="D156" s="217"/>
      <c r="E156" s="178"/>
      <c r="F156" s="218"/>
      <c r="G156" s="213"/>
      <c r="H156" s="217"/>
      <c r="I156" s="178"/>
      <c r="J156" s="179"/>
      <c r="O156" s="165"/>
      <c r="P156" s="165"/>
    </row>
    <row r="157" spans="1:16" ht="17.25" customHeight="1">
      <c r="A157" s="2509"/>
      <c r="B157" s="1899"/>
      <c r="C157" s="234">
        <v>2016</v>
      </c>
      <c r="D157" s="217">
        <v>1</v>
      </c>
      <c r="E157" s="178"/>
      <c r="F157" s="218"/>
      <c r="G157" s="213">
        <f t="shared" ref="G157:G161" si="14">SUM(D157:F157)</f>
        <v>1</v>
      </c>
      <c r="H157" s="217"/>
      <c r="I157" s="178"/>
      <c r="J157" s="179">
        <v>1</v>
      </c>
      <c r="O157" s="165"/>
      <c r="P157" s="165"/>
    </row>
    <row r="158" spans="1:16" ht="15" customHeight="1">
      <c r="A158" s="2509"/>
      <c r="B158" s="1899"/>
      <c r="C158" s="234">
        <v>2017</v>
      </c>
      <c r="D158" s="217"/>
      <c r="E158" s="178"/>
      <c r="F158" s="218"/>
      <c r="G158" s="213">
        <f t="shared" si="14"/>
        <v>0</v>
      </c>
      <c r="H158" s="217"/>
      <c r="I158" s="178"/>
      <c r="J158" s="179"/>
      <c r="O158" s="165"/>
      <c r="P158" s="165"/>
    </row>
    <row r="159" spans="1:16" ht="19.5" customHeight="1">
      <c r="A159" s="2509"/>
      <c r="B159" s="1899"/>
      <c r="C159" s="234">
        <v>2018</v>
      </c>
      <c r="D159" s="217"/>
      <c r="E159" s="178"/>
      <c r="F159" s="218"/>
      <c r="G159" s="213">
        <f t="shared" si="14"/>
        <v>0</v>
      </c>
      <c r="H159" s="217"/>
      <c r="I159" s="178"/>
      <c r="J159" s="179"/>
      <c r="O159" s="165"/>
      <c r="P159" s="165"/>
    </row>
    <row r="160" spans="1:16" ht="15" customHeight="1">
      <c r="A160" s="2509"/>
      <c r="B160" s="1899"/>
      <c r="C160" s="234">
        <v>2019</v>
      </c>
      <c r="D160" s="217"/>
      <c r="E160" s="178"/>
      <c r="F160" s="218"/>
      <c r="G160" s="213">
        <f t="shared" si="14"/>
        <v>0</v>
      </c>
      <c r="H160" s="217"/>
      <c r="I160" s="178"/>
      <c r="J160" s="179"/>
      <c r="O160" s="165"/>
      <c r="P160" s="165"/>
    </row>
    <row r="161" spans="1:18" ht="17.25" customHeight="1">
      <c r="A161" s="2509"/>
      <c r="B161" s="1899"/>
      <c r="C161" s="234">
        <v>2020</v>
      </c>
      <c r="D161" s="217"/>
      <c r="E161" s="178"/>
      <c r="F161" s="218"/>
      <c r="G161" s="213">
        <f t="shared" si="14"/>
        <v>0</v>
      </c>
      <c r="H161" s="217"/>
      <c r="I161" s="178"/>
      <c r="J161" s="179"/>
      <c r="O161" s="165"/>
      <c r="P161" s="165"/>
    </row>
    <row r="162" spans="1:18" ht="15.75" thickBot="1">
      <c r="A162" s="1893"/>
      <c r="B162" s="1900"/>
      <c r="C162" s="235" t="s">
        <v>13</v>
      </c>
      <c r="D162" s="221">
        <f t="shared" ref="D162:G162" si="15">SUM(D155:D161)</f>
        <v>1</v>
      </c>
      <c r="E162" s="181">
        <f t="shared" si="15"/>
        <v>0</v>
      </c>
      <c r="F162" s="222">
        <f t="shared" si="15"/>
        <v>0</v>
      </c>
      <c r="G162" s="222">
        <f t="shared" si="15"/>
        <v>1</v>
      </c>
      <c r="H162" s="221">
        <f>SUM(H155:H161)</f>
        <v>0</v>
      </c>
      <c r="I162" s="181">
        <f>SUM(I155:I161)</f>
        <v>0</v>
      </c>
      <c r="J162" s="236">
        <f>SUM(J155:J161)</f>
        <v>1</v>
      </c>
    </row>
    <row r="163" spans="1:18" ht="24.75" customHeight="1" thickBot="1">
      <c r="A163" s="237"/>
      <c r="B163" s="238"/>
      <c r="C163" s="239"/>
      <c r="D163" s="165"/>
      <c r="E163" s="1566"/>
      <c r="F163" s="165"/>
      <c r="G163" s="165"/>
      <c r="H163" s="165"/>
      <c r="I163" s="165"/>
      <c r="J163" s="241"/>
      <c r="K163" s="242"/>
    </row>
    <row r="164" spans="1:18" ht="95.25" customHeight="1">
      <c r="A164" s="243" t="s">
        <v>115</v>
      </c>
      <c r="B164" s="405" t="s">
        <v>181</v>
      </c>
      <c r="C164" s="1567" t="s">
        <v>9</v>
      </c>
      <c r="D164" s="246" t="s">
        <v>117</v>
      </c>
      <c r="E164" s="246" t="s">
        <v>118</v>
      </c>
      <c r="F164" s="1568" t="s">
        <v>119</v>
      </c>
      <c r="G164" s="246" t="s">
        <v>120</v>
      </c>
      <c r="H164" s="246" t="s">
        <v>121</v>
      </c>
      <c r="I164" s="248" t="s">
        <v>122</v>
      </c>
      <c r="J164" s="249" t="s">
        <v>123</v>
      </c>
      <c r="K164" s="249" t="s">
        <v>124</v>
      </c>
      <c r="L164" s="1569"/>
    </row>
    <row r="165" spans="1:18" ht="15.75" customHeight="1">
      <c r="A165" s="2510" t="s">
        <v>412</v>
      </c>
      <c r="B165" s="2511"/>
      <c r="C165" s="251">
        <v>2014</v>
      </c>
      <c r="D165" s="175"/>
      <c r="E165" s="175"/>
      <c r="F165" s="175"/>
      <c r="G165" s="175"/>
      <c r="H165" s="175"/>
      <c r="I165" s="176"/>
      <c r="J165" s="1570">
        <f>SUM(D165,F165,H165)</f>
        <v>0</v>
      </c>
      <c r="K165" s="253">
        <f>SUM(E165,G165,I165)</f>
        <v>0</v>
      </c>
      <c r="L165" s="1569"/>
    </row>
    <row r="166" spans="1:18">
      <c r="A166" s="2512"/>
      <c r="B166" s="2513"/>
      <c r="C166" s="254">
        <v>2015</v>
      </c>
      <c r="D166" s="255"/>
      <c r="E166" s="255"/>
      <c r="F166" s="255"/>
      <c r="G166" s="255"/>
      <c r="H166" s="255"/>
      <c r="I166" s="256"/>
      <c r="J166" s="1571">
        <v>0</v>
      </c>
      <c r="K166" s="408">
        <f t="shared" ref="K166:K171" si="16">SUM(E166,G166,I166)</f>
        <v>0</v>
      </c>
      <c r="L166" s="1569"/>
    </row>
    <row r="167" spans="1:18">
      <c r="A167" s="2512"/>
      <c r="B167" s="2513"/>
      <c r="C167" s="254">
        <v>2016</v>
      </c>
      <c r="D167" s="255">
        <v>0</v>
      </c>
      <c r="E167" s="255"/>
      <c r="F167" s="255"/>
      <c r="G167" s="255"/>
      <c r="H167" s="255">
        <v>148</v>
      </c>
      <c r="I167" s="256">
        <v>148</v>
      </c>
      <c r="J167" s="1571">
        <f t="shared" ref="J167:J171" si="17">SUM(D167,F167,H167)</f>
        <v>148</v>
      </c>
      <c r="K167" s="408">
        <f t="shared" si="16"/>
        <v>148</v>
      </c>
    </row>
    <row r="168" spans="1:18">
      <c r="A168" s="2512"/>
      <c r="B168" s="2513"/>
      <c r="C168" s="254">
        <v>2017</v>
      </c>
      <c r="D168" s="255"/>
      <c r="E168" s="165"/>
      <c r="F168" s="255"/>
      <c r="G168" s="255"/>
      <c r="H168" s="255">
        <v>25</v>
      </c>
      <c r="I168" s="256"/>
      <c r="J168" s="1571">
        <f t="shared" si="17"/>
        <v>25</v>
      </c>
      <c r="K168" s="408">
        <f t="shared" si="16"/>
        <v>0</v>
      </c>
    </row>
    <row r="169" spans="1:18">
      <c r="A169" s="2512"/>
      <c r="B169" s="2513"/>
      <c r="C169" s="262">
        <v>2018</v>
      </c>
      <c r="D169" s="255"/>
      <c r="E169" s="255"/>
      <c r="F169" s="255"/>
      <c r="G169" s="263"/>
      <c r="H169" s="255"/>
      <c r="I169" s="256"/>
      <c r="J169" s="1571">
        <f t="shared" si="17"/>
        <v>0</v>
      </c>
      <c r="K169" s="408">
        <f t="shared" si="16"/>
        <v>0</v>
      </c>
      <c r="L169" s="1569"/>
    </row>
    <row r="170" spans="1:18">
      <c r="A170" s="2512"/>
      <c r="B170" s="2513"/>
      <c r="C170" s="254">
        <v>2019</v>
      </c>
      <c r="D170" s="165"/>
      <c r="E170" s="255"/>
      <c r="F170" s="255"/>
      <c r="G170" s="255"/>
      <c r="H170" s="263"/>
      <c r="I170" s="256"/>
      <c r="J170" s="1571">
        <f t="shared" si="17"/>
        <v>0</v>
      </c>
      <c r="K170" s="408">
        <f t="shared" si="16"/>
        <v>0</v>
      </c>
      <c r="L170" s="1569"/>
    </row>
    <row r="171" spans="1:18">
      <c r="A171" s="2512"/>
      <c r="B171" s="2513"/>
      <c r="C171" s="262">
        <v>2020</v>
      </c>
      <c r="D171" s="255"/>
      <c r="E171" s="255"/>
      <c r="F171" s="255"/>
      <c r="G171" s="255"/>
      <c r="H171" s="255"/>
      <c r="I171" s="256"/>
      <c r="J171" s="1571">
        <f t="shared" si="17"/>
        <v>0</v>
      </c>
      <c r="K171" s="408">
        <f t="shared" si="16"/>
        <v>0</v>
      </c>
      <c r="L171" s="1569"/>
    </row>
    <row r="172" spans="1:18" ht="41.25" customHeight="1" thickBot="1">
      <c r="A172" s="2514"/>
      <c r="B172" s="2515"/>
      <c r="C172" s="265" t="s">
        <v>13</v>
      </c>
      <c r="D172" s="181">
        <f>SUM(D165:D171)</f>
        <v>0</v>
      </c>
      <c r="E172" s="181">
        <f t="shared" ref="E172:K172" si="18">SUM(E165:E171)</f>
        <v>0</v>
      </c>
      <c r="F172" s="181">
        <f t="shared" si="18"/>
        <v>0</v>
      </c>
      <c r="G172" s="181">
        <f t="shared" si="18"/>
        <v>0</v>
      </c>
      <c r="H172" s="181">
        <f t="shared" si="18"/>
        <v>173</v>
      </c>
      <c r="I172" s="409">
        <f t="shared" si="18"/>
        <v>148</v>
      </c>
      <c r="J172" s="410">
        <f t="shared" si="18"/>
        <v>173</v>
      </c>
      <c r="K172" s="221">
        <f t="shared" si="18"/>
        <v>148</v>
      </c>
      <c r="L172" s="1569"/>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389" t="s">
        <v>127</v>
      </c>
      <c r="B176" s="2380" t="s">
        <v>182</v>
      </c>
      <c r="C176" s="2391" t="s">
        <v>9</v>
      </c>
      <c r="D176" s="273" t="s">
        <v>128</v>
      </c>
      <c r="E176" s="1572"/>
      <c r="F176" s="1572"/>
      <c r="G176" s="1573"/>
      <c r="H176" s="276"/>
      <c r="I176" s="1888" t="s">
        <v>129</v>
      </c>
      <c r="J176" s="2393"/>
      <c r="K176" s="2393"/>
      <c r="L176" s="2393"/>
      <c r="M176" s="2393"/>
      <c r="N176" s="2393"/>
      <c r="O176" s="2394"/>
    </row>
    <row r="177" spans="1:24" s="56" customFormat="1" ht="129.75" customHeight="1">
      <c r="A177" s="2390"/>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24" ht="15" customHeight="1">
      <c r="A178" s="2509" t="s">
        <v>413</v>
      </c>
      <c r="B178" s="1899"/>
      <c r="C178" s="106">
        <v>2014</v>
      </c>
      <c r="D178" s="30"/>
      <c r="E178" s="31"/>
      <c r="F178" s="31"/>
      <c r="G178" s="284">
        <f>SUM(D178:F178)</f>
        <v>0</v>
      </c>
      <c r="H178" s="155"/>
      <c r="I178" s="155"/>
      <c r="J178" s="31"/>
      <c r="K178" s="31"/>
      <c r="L178" s="31"/>
      <c r="M178" s="31"/>
      <c r="N178" s="31"/>
      <c r="O178" s="34"/>
    </row>
    <row r="179" spans="1:24">
      <c r="A179" s="2509"/>
      <c r="B179" s="1899"/>
      <c r="C179" s="110">
        <v>2015</v>
      </c>
      <c r="D179" s="37">
        <v>2</v>
      </c>
      <c r="E179" s="38"/>
      <c r="F179" s="38"/>
      <c r="G179" s="284">
        <f t="shared" ref="G179:G184" si="19">SUM(D179:F179)</f>
        <v>2</v>
      </c>
      <c r="H179" s="411"/>
      <c r="I179" s="112">
        <v>2</v>
      </c>
      <c r="J179" s="38"/>
      <c r="K179" s="38">
        <v>0</v>
      </c>
      <c r="L179" s="38">
        <v>0</v>
      </c>
      <c r="M179" s="38">
        <v>0</v>
      </c>
      <c r="N179" s="38">
        <v>0</v>
      </c>
      <c r="O179" s="88">
        <v>0</v>
      </c>
      <c r="T179">
        <v>9345</v>
      </c>
    </row>
    <row r="180" spans="1:24">
      <c r="A180" s="2509"/>
      <c r="B180" s="1899"/>
      <c r="C180" s="110">
        <v>2016</v>
      </c>
      <c r="D180" s="37">
        <v>5</v>
      </c>
      <c r="E180" s="38">
        <v>6</v>
      </c>
      <c r="F180" s="38">
        <v>5</v>
      </c>
      <c r="G180" s="284">
        <f t="shared" si="19"/>
        <v>16</v>
      </c>
      <c r="H180" s="411">
        <v>17</v>
      </c>
      <c r="I180" s="112">
        <v>16</v>
      </c>
      <c r="J180" s="38">
        <v>0</v>
      </c>
      <c r="K180" s="38">
        <v>0</v>
      </c>
      <c r="L180" s="38">
        <v>0</v>
      </c>
      <c r="M180" s="38">
        <v>0</v>
      </c>
      <c r="N180" s="38">
        <v>0</v>
      </c>
      <c r="O180" s="88">
        <v>0</v>
      </c>
      <c r="T180">
        <v>490.45</v>
      </c>
    </row>
    <row r="181" spans="1:24">
      <c r="A181" s="2509"/>
      <c r="B181" s="1899"/>
      <c r="C181" s="110">
        <v>2017</v>
      </c>
      <c r="D181" s="37">
        <f>SUM(49+1+2+2)</f>
        <v>54</v>
      </c>
      <c r="E181" s="38">
        <v>2</v>
      </c>
      <c r="F181" s="38">
        <v>5</v>
      </c>
      <c r="G181" s="284">
        <f t="shared" si="19"/>
        <v>61</v>
      </c>
      <c r="H181" s="411">
        <f>SUM(3+48+4+4+2+5+6+3+5+4)</f>
        <v>84</v>
      </c>
      <c r="I181" s="112">
        <v>61</v>
      </c>
      <c r="J181" s="38"/>
      <c r="K181" s="38"/>
      <c r="L181" s="38"/>
      <c r="M181" s="38"/>
      <c r="N181" s="38"/>
      <c r="O181" s="88"/>
      <c r="T181">
        <v>78</v>
      </c>
    </row>
    <row r="182" spans="1:24">
      <c r="A182" s="2509"/>
      <c r="B182" s="1899"/>
      <c r="C182" s="110">
        <v>2018</v>
      </c>
      <c r="D182" s="37"/>
      <c r="E182" s="38"/>
      <c r="F182" s="38"/>
      <c r="G182" s="284">
        <f t="shared" si="19"/>
        <v>0</v>
      </c>
      <c r="H182" s="411"/>
      <c r="I182" s="112"/>
      <c r="J182" s="38"/>
      <c r="K182" s="38"/>
      <c r="L182" s="38"/>
      <c r="M182" s="38"/>
      <c r="N182" s="38"/>
      <c r="O182" s="88"/>
      <c r="T182">
        <v>1400</v>
      </c>
    </row>
    <row r="183" spans="1:24">
      <c r="A183" s="2509"/>
      <c r="B183" s="1899"/>
      <c r="C183" s="110">
        <v>2019</v>
      </c>
      <c r="D183" s="37"/>
      <c r="E183" s="38"/>
      <c r="F183" s="38"/>
      <c r="G183" s="284">
        <f t="shared" si="19"/>
        <v>0</v>
      </c>
      <c r="H183" s="411"/>
      <c r="I183" s="112"/>
      <c r="J183" s="38"/>
      <c r="K183" s="38"/>
      <c r="L183" s="38"/>
      <c r="M183" s="38"/>
      <c r="N183" s="38"/>
      <c r="O183" s="88"/>
      <c r="T183">
        <f>SUM(T179:T182)</f>
        <v>11313.45</v>
      </c>
    </row>
    <row r="184" spans="1:24">
      <c r="A184" s="2509"/>
      <c r="B184" s="1899"/>
      <c r="C184" s="110">
        <v>2020</v>
      </c>
      <c r="D184" s="37"/>
      <c r="E184" s="38"/>
      <c r="F184" s="38"/>
      <c r="G184" s="284">
        <f t="shared" si="19"/>
        <v>0</v>
      </c>
      <c r="H184" s="411"/>
      <c r="I184" s="112"/>
      <c r="J184" s="38"/>
      <c r="K184" s="38"/>
      <c r="L184" s="38"/>
      <c r="M184" s="38"/>
      <c r="N184" s="38"/>
      <c r="O184" s="88"/>
    </row>
    <row r="185" spans="1:24" ht="203.25" customHeight="1" thickBot="1">
      <c r="A185" s="1893"/>
      <c r="B185" s="1900"/>
      <c r="C185" s="113" t="s">
        <v>13</v>
      </c>
      <c r="D185" s="139">
        <f>SUM(D178:D184)</f>
        <v>61</v>
      </c>
      <c r="E185" s="116">
        <f>SUM(E178:E184)</f>
        <v>8</v>
      </c>
      <c r="F185" s="116">
        <f>SUM(F178:F184)</f>
        <v>10</v>
      </c>
      <c r="G185" s="220">
        <f t="shared" ref="G185:O185" si="20">SUM(G178:G184)</f>
        <v>79</v>
      </c>
      <c r="H185" s="285">
        <f t="shared" si="20"/>
        <v>101</v>
      </c>
      <c r="I185" s="115">
        <f t="shared" si="20"/>
        <v>79</v>
      </c>
      <c r="J185" s="116">
        <f t="shared" si="20"/>
        <v>0</v>
      </c>
      <c r="K185" s="116">
        <f t="shared" si="20"/>
        <v>0</v>
      </c>
      <c r="L185" s="116">
        <f t="shared" si="20"/>
        <v>0</v>
      </c>
      <c r="M185" s="116">
        <f t="shared" si="20"/>
        <v>0</v>
      </c>
      <c r="N185" s="116">
        <f t="shared" si="20"/>
        <v>0</v>
      </c>
      <c r="O185" s="117">
        <f t="shared" si="20"/>
        <v>0</v>
      </c>
      <c r="Q185" s="2506"/>
      <c r="R185" s="2508"/>
      <c r="S185" s="2508"/>
      <c r="T185" s="2508"/>
      <c r="U185" s="2508"/>
      <c r="V185" s="2508"/>
      <c r="W185" s="2508"/>
      <c r="X185" s="2508"/>
    </row>
    <row r="186" spans="1:24" ht="33" customHeight="1" thickBot="1"/>
    <row r="187" spans="1:24" ht="19.5" customHeight="1">
      <c r="A187" s="1861" t="s">
        <v>137</v>
      </c>
      <c r="B187" s="2380" t="s">
        <v>182</v>
      </c>
      <c r="C187" s="1865" t="s">
        <v>9</v>
      </c>
      <c r="D187" s="1867" t="s">
        <v>138</v>
      </c>
      <c r="E187" s="2381"/>
      <c r="F187" s="2381"/>
      <c r="G187" s="1869"/>
      <c r="H187" s="1870" t="s">
        <v>139</v>
      </c>
      <c r="I187" s="1865"/>
      <c r="J187" s="1865"/>
      <c r="K187" s="1865"/>
      <c r="L187" s="1871"/>
    </row>
    <row r="188" spans="1:24"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24" ht="15" customHeight="1">
      <c r="A189" s="1976" t="s">
        <v>414</v>
      </c>
      <c r="B189" s="1977"/>
      <c r="C189" s="290">
        <v>2014</v>
      </c>
      <c r="D189" s="133"/>
      <c r="E189" s="109"/>
      <c r="F189" s="109"/>
      <c r="G189" s="291">
        <f>SUM(D189:F189)</f>
        <v>0</v>
      </c>
      <c r="H189" s="108"/>
      <c r="I189" s="109"/>
      <c r="J189" s="109"/>
      <c r="K189" s="109"/>
      <c r="L189" s="134"/>
    </row>
    <row r="190" spans="1:24">
      <c r="A190" s="2504"/>
      <c r="B190" s="1855"/>
      <c r="C190" s="73">
        <v>2015</v>
      </c>
      <c r="D190" s="37">
        <v>51</v>
      </c>
      <c r="E190" s="38"/>
      <c r="F190" s="38"/>
      <c r="G190" s="291"/>
      <c r="H190" s="112"/>
      <c r="I190" s="38"/>
      <c r="J190" s="38">
        <v>51</v>
      </c>
      <c r="K190" s="38"/>
      <c r="L190" s="88"/>
    </row>
    <row r="191" spans="1:24">
      <c r="A191" s="2504"/>
      <c r="B191" s="1855"/>
      <c r="C191" s="73">
        <v>2016</v>
      </c>
      <c r="D191" s="37">
        <v>422</v>
      </c>
      <c r="E191" s="38">
        <v>443</v>
      </c>
      <c r="F191" s="38">
        <v>166</v>
      </c>
      <c r="G191" s="291">
        <f t="shared" ref="G191:G195" si="21">SUM(D191:F191)</f>
        <v>1031</v>
      </c>
      <c r="H191" s="457">
        <v>6</v>
      </c>
      <c r="I191" s="339">
        <v>5</v>
      </c>
      <c r="J191" s="339">
        <v>398</v>
      </c>
      <c r="K191" s="339"/>
      <c r="L191" s="340">
        <v>622</v>
      </c>
      <c r="M191">
        <f>SUM(H191:L191)</f>
        <v>1031</v>
      </c>
    </row>
    <row r="192" spans="1:24">
      <c r="A192" s="2504"/>
      <c r="B192" s="1855"/>
      <c r="C192" s="73">
        <v>2017</v>
      </c>
      <c r="D192" s="37">
        <f>SUM(988+40+25+21+65+1+13+92)</f>
        <v>1245</v>
      </c>
      <c r="E192" s="38">
        <v>62</v>
      </c>
      <c r="F192" s="38">
        <f>SUM(50+49+33)</f>
        <v>132</v>
      </c>
      <c r="G192" s="291">
        <f>SUM(D192:F192)</f>
        <v>1439</v>
      </c>
      <c r="H192" s="112"/>
      <c r="I192" s="38">
        <v>6</v>
      </c>
      <c r="J192" s="38">
        <f>SUM(40+15+20+25+65+13+20+30+25)</f>
        <v>253</v>
      </c>
      <c r="K192" s="38"/>
      <c r="L192" s="88">
        <v>1180</v>
      </c>
      <c r="M192">
        <f>SUM(H192:L192)</f>
        <v>1439</v>
      </c>
    </row>
    <row r="193" spans="1:14">
      <c r="A193" s="2504"/>
      <c r="B193" s="1855"/>
      <c r="C193" s="73">
        <v>2018</v>
      </c>
      <c r="D193" s="37"/>
      <c r="E193" s="38"/>
      <c r="F193" s="38"/>
      <c r="G193" s="291">
        <f t="shared" si="21"/>
        <v>0</v>
      </c>
      <c r="H193" s="112"/>
      <c r="I193" s="38"/>
      <c r="J193" s="38"/>
      <c r="K193" s="38"/>
      <c r="L193" s="88"/>
    </row>
    <row r="194" spans="1:14">
      <c r="A194" s="2504"/>
      <c r="B194" s="1855"/>
      <c r="C194" s="73">
        <v>2019</v>
      </c>
      <c r="D194" s="37"/>
      <c r="E194" s="38"/>
      <c r="F194" s="38"/>
      <c r="G194" s="291">
        <f t="shared" si="21"/>
        <v>0</v>
      </c>
      <c r="H194" s="112"/>
      <c r="I194" s="38"/>
      <c r="J194" s="38"/>
      <c r="K194" s="38"/>
      <c r="L194" s="88"/>
    </row>
    <row r="195" spans="1:14">
      <c r="A195" s="2504"/>
      <c r="B195" s="1855"/>
      <c r="C195" s="73">
        <v>2020</v>
      </c>
      <c r="D195" s="37"/>
      <c r="E195" s="38"/>
      <c r="F195" s="38"/>
      <c r="G195" s="291">
        <f t="shared" si="21"/>
        <v>0</v>
      </c>
      <c r="H195" s="112"/>
      <c r="I195" s="38"/>
      <c r="J195" s="38"/>
      <c r="K195" s="38"/>
      <c r="L195" s="88"/>
    </row>
    <row r="196" spans="1:14" ht="15.75" thickBot="1">
      <c r="A196" s="1979"/>
      <c r="B196" s="1857"/>
      <c r="C196" s="136" t="s">
        <v>13</v>
      </c>
      <c r="D196" s="139">
        <f t="shared" ref="D196:L196" si="22">SUM(D189:D195)</f>
        <v>1718</v>
      </c>
      <c r="E196" s="116">
        <f t="shared" si="22"/>
        <v>505</v>
      </c>
      <c r="F196" s="116">
        <f t="shared" si="22"/>
        <v>298</v>
      </c>
      <c r="G196" s="292">
        <f t="shared" si="22"/>
        <v>2470</v>
      </c>
      <c r="H196" s="115">
        <f t="shared" si="22"/>
        <v>6</v>
      </c>
      <c r="I196" s="116">
        <f t="shared" si="22"/>
        <v>11</v>
      </c>
      <c r="J196" s="116">
        <f t="shared" si="22"/>
        <v>702</v>
      </c>
      <c r="K196" s="116">
        <f t="shared" si="22"/>
        <v>0</v>
      </c>
      <c r="L196" s="117">
        <f t="shared" si="22"/>
        <v>1802</v>
      </c>
      <c r="M196" s="78">
        <f>SUM(H196:L196)</f>
        <v>2521</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1574" t="s">
        <v>150</v>
      </c>
      <c r="B201" s="417" t="s">
        <v>182</v>
      </c>
      <c r="C201" s="298" t="s">
        <v>9</v>
      </c>
      <c r="D201" s="299" t="s">
        <v>151</v>
      </c>
      <c r="E201" s="300" t="s">
        <v>152</v>
      </c>
      <c r="F201" s="300" t="s">
        <v>153</v>
      </c>
      <c r="G201" s="298" t="s">
        <v>154</v>
      </c>
      <c r="H201" s="1575" t="s">
        <v>155</v>
      </c>
      <c r="I201" s="302" t="s">
        <v>156</v>
      </c>
      <c r="J201" s="303" t="s">
        <v>157</v>
      </c>
      <c r="K201" s="300" t="s">
        <v>158</v>
      </c>
      <c r="L201" s="304" t="s">
        <v>159</v>
      </c>
    </row>
    <row r="202" spans="1:14" ht="15" customHeight="1">
      <c r="A202" s="2505"/>
      <c r="B202" s="1855"/>
      <c r="C202" s="72">
        <v>2014</v>
      </c>
      <c r="D202" s="30"/>
      <c r="E202" s="31"/>
      <c r="F202" s="31"/>
      <c r="G202" s="29"/>
      <c r="H202" s="305"/>
      <c r="I202" s="306"/>
      <c r="J202" s="307"/>
      <c r="K202" s="31"/>
      <c r="L202" s="34"/>
    </row>
    <row r="203" spans="1:14">
      <c r="A203" s="2505"/>
      <c r="B203" s="1855"/>
      <c r="C203" s="73">
        <v>2015</v>
      </c>
      <c r="D203" s="37"/>
      <c r="E203" s="38"/>
      <c r="F203" s="38"/>
      <c r="G203" s="36"/>
      <c r="H203" s="308"/>
      <c r="I203" s="309"/>
      <c r="J203" s="310"/>
      <c r="K203" s="38"/>
      <c r="L203" s="88"/>
    </row>
    <row r="204" spans="1:14">
      <c r="A204" s="2505"/>
      <c r="B204" s="1855"/>
      <c r="C204" s="73">
        <v>2016</v>
      </c>
      <c r="D204" s="37">
        <v>0</v>
      </c>
      <c r="E204" s="38"/>
      <c r="F204" s="38"/>
      <c r="G204" s="36"/>
      <c r="H204" s="308"/>
      <c r="I204" s="309">
        <v>0</v>
      </c>
      <c r="J204" s="310"/>
      <c r="K204" s="38"/>
      <c r="L204" s="88"/>
    </row>
    <row r="205" spans="1:14">
      <c r="A205" s="2505"/>
      <c r="B205" s="1855"/>
      <c r="C205" s="73">
        <v>2017</v>
      </c>
      <c r="D205" s="37"/>
      <c r="E205" s="38"/>
      <c r="F205" s="38"/>
      <c r="G205" s="36"/>
      <c r="H205" s="308"/>
      <c r="I205" s="309"/>
      <c r="J205" s="310"/>
      <c r="K205" s="38"/>
      <c r="L205" s="88"/>
    </row>
    <row r="206" spans="1:14">
      <c r="A206" s="2505"/>
      <c r="B206" s="1855"/>
      <c r="C206" s="73">
        <v>2018</v>
      </c>
      <c r="D206" s="37"/>
      <c r="E206" s="38"/>
      <c r="F206" s="38"/>
      <c r="G206" s="36"/>
      <c r="H206" s="308"/>
      <c r="I206" s="309"/>
      <c r="J206" s="310"/>
      <c r="K206" s="38"/>
      <c r="L206" s="88"/>
    </row>
    <row r="207" spans="1:14">
      <c r="A207" s="2505"/>
      <c r="B207" s="1855"/>
      <c r="C207" s="73">
        <v>2019</v>
      </c>
      <c r="D207" s="37"/>
      <c r="E207" s="38"/>
      <c r="F207" s="38"/>
      <c r="G207" s="36"/>
      <c r="H207" s="308"/>
      <c r="I207" s="309"/>
      <c r="J207" s="310"/>
      <c r="K207" s="38"/>
      <c r="L207" s="88"/>
    </row>
    <row r="208" spans="1:14">
      <c r="A208" s="2505"/>
      <c r="B208" s="1855"/>
      <c r="C208" s="73">
        <v>2020</v>
      </c>
      <c r="D208" s="1533"/>
      <c r="E208" s="312"/>
      <c r="F208" s="312"/>
      <c r="G208" s="313"/>
      <c r="H208" s="314"/>
      <c r="I208" s="315"/>
      <c r="J208" s="316"/>
      <c r="K208" s="312"/>
      <c r="L208" s="317"/>
    </row>
    <row r="209" spans="1:13" ht="20.25" customHeight="1" thickBot="1">
      <c r="A209" s="1856"/>
      <c r="B209" s="1857"/>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0</v>
      </c>
      <c r="K209" s="139">
        <f t="shared" si="23"/>
        <v>0</v>
      </c>
      <c r="L209" s="139">
        <f t="shared" si="23"/>
        <v>0</v>
      </c>
    </row>
    <row r="211" spans="1:13" ht="15.75" thickBot="1"/>
    <row r="212" spans="1:13" ht="29.25">
      <c r="A212" s="1576" t="s">
        <v>161</v>
      </c>
      <c r="B212" s="322" t="s">
        <v>162</v>
      </c>
      <c r="C212" s="323">
        <v>2014</v>
      </c>
      <c r="D212" s="324">
        <v>2015</v>
      </c>
      <c r="E212" s="324">
        <v>2016</v>
      </c>
      <c r="F212" s="324">
        <v>2017</v>
      </c>
      <c r="G212" s="324">
        <v>2018</v>
      </c>
      <c r="H212" s="324">
        <v>2019</v>
      </c>
      <c r="I212" s="325">
        <v>2020</v>
      </c>
      <c r="K212" s="71"/>
    </row>
    <row r="213" spans="1:13" ht="15" customHeight="1">
      <c r="A213" t="s">
        <v>163</v>
      </c>
      <c r="B213" s="1973" t="s">
        <v>415</v>
      </c>
      <c r="C213" s="72"/>
      <c r="D213" s="605">
        <v>20304.68</v>
      </c>
      <c r="E213" s="1577">
        <f>SUM(E214:E217)</f>
        <v>1303839.32</v>
      </c>
      <c r="F213" s="605">
        <f>SUM(F214:F217)</f>
        <v>726515.84000000008</v>
      </c>
      <c r="G213" s="1578"/>
      <c r="H213" s="1578"/>
      <c r="I213" s="1579"/>
      <c r="J213" s="327"/>
      <c r="L213" s="1580"/>
      <c r="M213" s="327"/>
    </row>
    <row r="214" spans="1:13">
      <c r="A214" t="s">
        <v>164</v>
      </c>
      <c r="B214" s="1974"/>
      <c r="C214" s="72"/>
      <c r="D214" s="572">
        <v>20304.68</v>
      </c>
      <c r="E214" s="328">
        <v>740470.42</v>
      </c>
      <c r="F214" s="328">
        <f>SUM(27155.55+96603.27+12169.2+88662)</f>
        <v>224590.02000000002</v>
      </c>
      <c r="G214" s="135"/>
      <c r="H214" s="135"/>
      <c r="I214" s="326"/>
      <c r="J214" s="160"/>
    </row>
    <row r="215" spans="1:13">
      <c r="A215" t="s">
        <v>165</v>
      </c>
      <c r="B215" s="1974"/>
      <c r="C215" s="72"/>
      <c r="D215" s="328"/>
      <c r="E215" s="328">
        <v>0</v>
      </c>
      <c r="F215" s="328">
        <v>0</v>
      </c>
      <c r="G215" s="135"/>
      <c r="H215" s="135"/>
      <c r="I215" s="326"/>
      <c r="J215" s="327"/>
    </row>
    <row r="216" spans="1:13">
      <c r="A216" t="s">
        <v>166</v>
      </c>
      <c r="B216" s="1974"/>
      <c r="C216" s="72"/>
      <c r="D216" s="328"/>
      <c r="E216" s="328">
        <v>12011.25</v>
      </c>
      <c r="F216" s="328">
        <f>SUM(11317.48+166022.08+10947)</f>
        <v>188286.56</v>
      </c>
      <c r="G216" s="135"/>
      <c r="H216" s="135"/>
      <c r="I216" s="326"/>
      <c r="K216" s="2506"/>
    </row>
    <row r="217" spans="1:13">
      <c r="A217" t="s">
        <v>167</v>
      </c>
      <c r="B217" s="1974"/>
      <c r="C217" s="72"/>
      <c r="D217" s="328"/>
      <c r="E217" s="328">
        <v>551357.65</v>
      </c>
      <c r="F217" s="328">
        <f>SUM(10981.1+10395.99+114639.24+24847.56+73753.12+24772+15680.59+8548.64+25853.07+4167.95)</f>
        <v>313639.26000000007</v>
      </c>
      <c r="G217" s="135"/>
      <c r="H217" s="135"/>
      <c r="I217" s="326"/>
      <c r="J217" s="327"/>
      <c r="K217" s="2506"/>
    </row>
    <row r="218" spans="1:13" ht="30.75" thickBot="1">
      <c r="A218" s="56" t="s">
        <v>168</v>
      </c>
      <c r="B218" s="1974"/>
      <c r="C218" s="72"/>
      <c r="D218" s="328">
        <v>98244.2</v>
      </c>
      <c r="E218" s="605">
        <v>489921.88</v>
      </c>
      <c r="F218" s="605">
        <v>1102563.99</v>
      </c>
      <c r="G218" s="461"/>
      <c r="H218" s="461"/>
      <c r="I218" s="1581"/>
      <c r="K218" s="2506"/>
    </row>
    <row r="219" spans="1:13" ht="235.5" customHeight="1" thickBot="1">
      <c r="A219" s="1582" t="s">
        <v>416</v>
      </c>
      <c r="B219" s="2062"/>
      <c r="C219" s="42" t="s">
        <v>13</v>
      </c>
      <c r="D219" s="332">
        <f>SUM(D214:D218)</f>
        <v>118548.88</v>
      </c>
      <c r="E219" s="1583">
        <f t="shared" ref="E219:I219" si="24">SUM(E214:E218)</f>
        <v>1793761.2000000002</v>
      </c>
      <c r="F219" s="332">
        <f>SUM(F214:F218)</f>
        <v>1829079.83</v>
      </c>
      <c r="G219" s="333">
        <f t="shared" si="24"/>
        <v>0</v>
      </c>
      <c r="H219" s="333">
        <f t="shared" si="24"/>
        <v>0</v>
      </c>
      <c r="I219" s="333">
        <f t="shared" si="24"/>
        <v>0</v>
      </c>
      <c r="J219" s="327"/>
      <c r="K219" s="2506"/>
    </row>
    <row r="220" spans="1:13">
      <c r="E220" s="599"/>
    </row>
    <row r="221" spans="1:13">
      <c r="E221" s="327"/>
    </row>
    <row r="223" spans="1:13">
      <c r="A223" s="56"/>
      <c r="E223" s="327"/>
    </row>
    <row r="227" spans="1:13">
      <c r="A227" s="56"/>
      <c r="F227" s="2507"/>
      <c r="G227" s="2507"/>
      <c r="H227" s="2507"/>
      <c r="I227" s="2507"/>
      <c r="J227" s="2507"/>
      <c r="K227" s="2507"/>
      <c r="L227" s="2507"/>
      <c r="M227" s="2507"/>
    </row>
    <row r="228" spans="1:13">
      <c r="F228" s="2507"/>
      <c r="G228" s="2507"/>
      <c r="H228" s="2507"/>
      <c r="I228" s="2507"/>
      <c r="J228" s="2507"/>
      <c r="K228" s="2507"/>
      <c r="L228" s="2507"/>
      <c r="M228" s="2507"/>
    </row>
  </sheetData>
  <mergeCells count="59">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A165:B172"/>
    <mergeCell ref="A176:A177"/>
    <mergeCell ref="B176:B177"/>
    <mergeCell ref="C176:C177"/>
    <mergeCell ref="I176:O176"/>
    <mergeCell ref="Q185:X185"/>
    <mergeCell ref="A187:A188"/>
    <mergeCell ref="B187:B188"/>
    <mergeCell ref="C187:C188"/>
    <mergeCell ref="D187:G187"/>
    <mergeCell ref="H187:L187"/>
    <mergeCell ref="A178:B185"/>
    <mergeCell ref="A189:B196"/>
    <mergeCell ref="A202:B209"/>
    <mergeCell ref="B213:B219"/>
    <mergeCell ref="K216:K219"/>
    <mergeCell ref="F227:M22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7"/>
  <sheetViews>
    <sheetView topLeftCell="A4" zoomScale="60" zoomScaleNormal="60" workbookViewId="0">
      <selection activeCell="F219" sqref="F219"/>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417</v>
      </c>
      <c r="C1" s="1944"/>
      <c r="D1" s="1944"/>
      <c r="E1" s="1944"/>
      <c r="F1" s="1944"/>
    </row>
    <row r="2" spans="1:25" s="1" customFormat="1" ht="20.100000000000001" customHeight="1" thickBot="1"/>
    <row r="3" spans="1:25" s="4" customFormat="1" ht="20.100000000000001" customHeight="1">
      <c r="A3" s="1584" t="s">
        <v>2</v>
      </c>
      <c r="B3" s="1585"/>
      <c r="C3" s="1585"/>
      <c r="D3" s="1585"/>
      <c r="E3" s="1585"/>
      <c r="F3" s="2418"/>
      <c r="G3" s="2418"/>
      <c r="H3" s="2418"/>
      <c r="I3" s="2418"/>
      <c r="J3" s="2418"/>
      <c r="K3" s="2418"/>
      <c r="L3" s="2418"/>
      <c r="M3" s="2418"/>
      <c r="N3" s="2418"/>
      <c r="O3" s="2419"/>
    </row>
    <row r="4" spans="1:25" s="4" customFormat="1" ht="20.100000000000001" customHeight="1">
      <c r="A4" s="1947" t="s">
        <v>170</v>
      </c>
      <c r="B4" s="1948"/>
      <c r="C4" s="1948"/>
      <c r="D4" s="1948"/>
      <c r="E4" s="1948"/>
      <c r="F4" s="1948"/>
      <c r="G4" s="1948"/>
      <c r="H4" s="1948"/>
      <c r="I4" s="1948"/>
      <c r="J4" s="1948"/>
      <c r="K4" s="1948"/>
      <c r="L4" s="1948"/>
      <c r="M4" s="1948"/>
      <c r="N4" s="1948"/>
      <c r="O4" s="1949"/>
    </row>
    <row r="5" spans="1:25" s="4" customFormat="1" ht="20.100000000000001" customHeight="1">
      <c r="A5" s="1947"/>
      <c r="B5" s="1948"/>
      <c r="C5" s="1948"/>
      <c r="D5" s="1948"/>
      <c r="E5" s="1948"/>
      <c r="F5" s="1948"/>
      <c r="G5" s="1948"/>
      <c r="H5" s="1948"/>
      <c r="I5" s="1948"/>
      <c r="J5" s="1948"/>
      <c r="K5" s="1948"/>
      <c r="L5" s="1948"/>
      <c r="M5" s="1948"/>
      <c r="N5" s="1948"/>
      <c r="O5" s="1949"/>
    </row>
    <row r="6" spans="1:25" s="4" customFormat="1" ht="20.100000000000001" customHeight="1">
      <c r="A6" s="1947"/>
      <c r="B6" s="1948"/>
      <c r="C6" s="1948"/>
      <c r="D6" s="1948"/>
      <c r="E6" s="1948"/>
      <c r="F6" s="1948"/>
      <c r="G6" s="1948"/>
      <c r="H6" s="1948"/>
      <c r="I6" s="1948"/>
      <c r="J6" s="1948"/>
      <c r="K6" s="1948"/>
      <c r="L6" s="1948"/>
      <c r="M6" s="1948"/>
      <c r="N6" s="1948"/>
      <c r="O6" s="1949"/>
    </row>
    <row r="7" spans="1:25" s="4" customFormat="1" ht="20.100000000000001" customHeight="1">
      <c r="A7" s="1947"/>
      <c r="B7" s="1948"/>
      <c r="C7" s="1948"/>
      <c r="D7" s="1948"/>
      <c r="E7" s="1948"/>
      <c r="F7" s="1948"/>
      <c r="G7" s="1948"/>
      <c r="H7" s="1948"/>
      <c r="I7" s="1948"/>
      <c r="J7" s="1948"/>
      <c r="K7" s="1948"/>
      <c r="L7" s="1948"/>
      <c r="M7" s="1948"/>
      <c r="N7" s="1948"/>
      <c r="O7" s="1949"/>
    </row>
    <row r="8" spans="1:25" s="4" customFormat="1" ht="20.100000000000001" customHeight="1">
      <c r="A8" s="1947"/>
      <c r="B8" s="1948"/>
      <c r="C8" s="1948"/>
      <c r="D8" s="1948"/>
      <c r="E8" s="1948"/>
      <c r="F8" s="1948"/>
      <c r="G8" s="1948"/>
      <c r="H8" s="1948"/>
      <c r="I8" s="1948"/>
      <c r="J8" s="1948"/>
      <c r="K8" s="1948"/>
      <c r="L8" s="1948"/>
      <c r="M8" s="1948"/>
      <c r="N8" s="1948"/>
      <c r="O8" s="1949"/>
    </row>
    <row r="9" spans="1:25" s="4" customFormat="1" ht="20.100000000000001" customHeight="1">
      <c r="A9" s="1947"/>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1586"/>
      <c r="B15" s="1587"/>
      <c r="C15" s="10"/>
      <c r="D15" s="1953" t="s">
        <v>5</v>
      </c>
      <c r="E15" s="2422"/>
      <c r="F15" s="2422"/>
      <c r="G15" s="2422"/>
      <c r="H15" s="11"/>
      <c r="I15" s="12" t="s">
        <v>6</v>
      </c>
      <c r="J15" s="13"/>
      <c r="K15" s="13"/>
      <c r="L15" s="13"/>
      <c r="M15" s="13"/>
      <c r="N15" s="13"/>
      <c r="O15" s="14"/>
      <c r="P15" s="15"/>
      <c r="Q15" s="16"/>
      <c r="R15" s="17"/>
      <c r="S15" s="17"/>
      <c r="T15" s="17"/>
      <c r="U15" s="17"/>
      <c r="V15" s="17"/>
      <c r="W15" s="15"/>
      <c r="X15" s="15"/>
      <c r="Y15" s="16"/>
    </row>
    <row r="16" spans="1:25" s="56" customFormat="1" ht="129" customHeight="1">
      <c r="A16" s="1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2552"/>
      <c r="B17" s="2565" t="s">
        <v>418</v>
      </c>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2553"/>
      <c r="B18" s="2566"/>
      <c r="C18" s="36">
        <v>2015</v>
      </c>
      <c r="D18" s="37">
        <v>2</v>
      </c>
      <c r="E18" s="38"/>
      <c r="F18" s="38"/>
      <c r="G18" s="32">
        <f>SUM(D18:F18)</f>
        <v>2</v>
      </c>
      <c r="H18" s="39">
        <v>2</v>
      </c>
      <c r="I18" s="38"/>
      <c r="J18" s="38"/>
      <c r="K18" s="38"/>
      <c r="L18" s="38"/>
      <c r="M18" s="38"/>
      <c r="N18" s="38"/>
      <c r="O18" s="40"/>
      <c r="P18" s="35"/>
      <c r="Q18" s="35"/>
      <c r="R18" s="35"/>
      <c r="S18" s="35"/>
      <c r="T18" s="35"/>
      <c r="U18" s="35"/>
      <c r="V18" s="35"/>
      <c r="W18" s="35"/>
      <c r="X18" s="35"/>
      <c r="Y18" s="35"/>
    </row>
    <row r="19" spans="1:25">
      <c r="A19" s="2553"/>
      <c r="B19" s="2566"/>
      <c r="C19" s="36">
        <v>2016</v>
      </c>
      <c r="D19" s="37">
        <v>8</v>
      </c>
      <c r="E19" s="38"/>
      <c r="F19" s="38"/>
      <c r="G19" s="32">
        <f t="shared" si="0"/>
        <v>8</v>
      </c>
      <c r="H19" s="39">
        <v>8</v>
      </c>
      <c r="I19" s="38"/>
      <c r="J19" s="38"/>
      <c r="K19" s="38"/>
      <c r="L19" s="38"/>
      <c r="M19" s="38"/>
      <c r="N19" s="38"/>
      <c r="O19" s="40"/>
      <c r="P19" s="35"/>
      <c r="Q19" s="35"/>
      <c r="R19" s="35"/>
      <c r="S19" s="35"/>
      <c r="T19" s="35"/>
      <c r="U19" s="35"/>
      <c r="V19" s="35"/>
      <c r="W19" s="35"/>
      <c r="X19" s="35"/>
      <c r="Y19" s="35"/>
    </row>
    <row r="20" spans="1:25">
      <c r="A20" s="2553"/>
      <c r="B20" s="2566"/>
      <c r="C20" s="41">
        <v>2017</v>
      </c>
      <c r="D20" s="90">
        <f>2+22</f>
        <v>24</v>
      </c>
      <c r="E20" s="91"/>
      <c r="F20" s="91">
        <v>1</v>
      </c>
      <c r="G20" s="1588">
        <f t="shared" si="0"/>
        <v>25</v>
      </c>
      <c r="H20" s="1589">
        <f>3+22</f>
        <v>25</v>
      </c>
      <c r="I20" s="38"/>
      <c r="J20" s="38"/>
      <c r="K20" s="38"/>
      <c r="L20" s="38"/>
      <c r="M20" s="38"/>
      <c r="N20" s="38"/>
      <c r="O20" s="40"/>
      <c r="P20" s="35"/>
      <c r="Q20" s="35"/>
      <c r="R20" s="35"/>
      <c r="S20" s="35"/>
      <c r="T20" s="35"/>
      <c r="U20" s="35"/>
      <c r="V20" s="35"/>
      <c r="W20" s="35"/>
      <c r="X20" s="35"/>
      <c r="Y20" s="35"/>
    </row>
    <row r="21" spans="1:25">
      <c r="A21" s="2553"/>
      <c r="B21" s="2566"/>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2553"/>
      <c r="B22" s="2566"/>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2553"/>
      <c r="B23" s="2566"/>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97.5" customHeight="1" thickBot="1">
      <c r="A24" s="2554"/>
      <c r="B24" s="2567"/>
      <c r="C24" s="42" t="s">
        <v>13</v>
      </c>
      <c r="D24" s="43">
        <f>SUM(D17:D23)</f>
        <v>34</v>
      </c>
      <c r="E24" s="44">
        <f>SUM(E17:E23)</f>
        <v>0</v>
      </c>
      <c r="F24" s="44">
        <f>SUM(F17:F23)</f>
        <v>1</v>
      </c>
      <c r="G24" s="45">
        <f>SUM(D24:F24)</f>
        <v>35</v>
      </c>
      <c r="H24" s="46">
        <f>SUM(H17:H23)</f>
        <v>35</v>
      </c>
      <c r="I24" s="47">
        <f>SUM(I17:I23)</f>
        <v>0</v>
      </c>
      <c r="J24" s="47">
        <f t="shared" ref="J24:N24" si="1">SUM(J17:J23)</f>
        <v>0</v>
      </c>
      <c r="K24" s="47">
        <f t="shared" si="1"/>
        <v>0</v>
      </c>
      <c r="L24" s="47">
        <f t="shared" si="1"/>
        <v>0</v>
      </c>
      <c r="M24" s="47">
        <f t="shared" si="1"/>
        <v>0</v>
      </c>
      <c r="N24" s="47">
        <f t="shared" si="1"/>
        <v>0</v>
      </c>
      <c r="O24" s="48">
        <f>SUM(O17:O23)</f>
        <v>0</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1586"/>
      <c r="B26" s="1587"/>
      <c r="C26" s="50"/>
      <c r="D26" s="1959" t="s">
        <v>5</v>
      </c>
      <c r="E26" s="2424"/>
      <c r="F26" s="2424"/>
      <c r="G26" s="2425"/>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2552"/>
      <c r="B28" s="2565" t="s">
        <v>419</v>
      </c>
      <c r="C28" s="57">
        <v>2014</v>
      </c>
      <c r="D28" s="33"/>
      <c r="E28" s="31"/>
      <c r="F28" s="31"/>
      <c r="G28" s="58">
        <f>SUM(D28:F28)</f>
        <v>0</v>
      </c>
      <c r="H28" s="35"/>
      <c r="I28" s="35"/>
      <c r="J28" s="35"/>
      <c r="K28" s="35"/>
      <c r="L28" s="35"/>
      <c r="M28" s="35"/>
      <c r="N28" s="35"/>
      <c r="O28" s="35"/>
      <c r="P28" s="35"/>
      <c r="Q28" s="7"/>
    </row>
    <row r="29" spans="1:25">
      <c r="A29" s="2553"/>
      <c r="B29" s="2566"/>
      <c r="C29" s="59">
        <v>2015</v>
      </c>
      <c r="D29" s="39">
        <v>60</v>
      </c>
      <c r="E29" s="38"/>
      <c r="F29" s="38"/>
      <c r="G29" s="58">
        <f t="shared" ref="G29:G35" si="2">SUM(D29:F29)</f>
        <v>60</v>
      </c>
      <c r="H29" s="35"/>
      <c r="I29" s="35"/>
      <c r="J29" s="35"/>
      <c r="K29" s="35"/>
      <c r="L29" s="35"/>
      <c r="M29" s="35"/>
      <c r="N29" s="35"/>
      <c r="O29" s="35"/>
      <c r="P29" s="35"/>
      <c r="Q29" s="7"/>
    </row>
    <row r="30" spans="1:25">
      <c r="A30" s="2553"/>
      <c r="B30" s="2566"/>
      <c r="C30" s="59">
        <v>2016</v>
      </c>
      <c r="D30" s="433">
        <v>2500</v>
      </c>
      <c r="E30" s="38"/>
      <c r="F30" s="38"/>
      <c r="G30" s="434">
        <f t="shared" si="2"/>
        <v>2500</v>
      </c>
      <c r="H30" s="35"/>
      <c r="I30" s="35"/>
      <c r="J30" s="35"/>
      <c r="K30" s="35"/>
      <c r="L30" s="35"/>
      <c r="M30" s="35"/>
      <c r="N30" s="35"/>
      <c r="O30" s="35"/>
      <c r="P30" s="35"/>
      <c r="Q30" s="7"/>
    </row>
    <row r="31" spans="1:25">
      <c r="A31" s="2553"/>
      <c r="B31" s="2566"/>
      <c r="C31" s="60">
        <v>2017</v>
      </c>
      <c r="D31" s="524">
        <f>99+8002</f>
        <v>8101</v>
      </c>
      <c r="E31" s="92"/>
      <c r="F31" s="92">
        <v>500</v>
      </c>
      <c r="G31" s="434">
        <f t="shared" si="2"/>
        <v>8601</v>
      </c>
      <c r="H31" s="35"/>
      <c r="I31" s="35"/>
      <c r="J31" s="35"/>
      <c r="K31" s="35"/>
      <c r="L31" s="35"/>
      <c r="M31" s="35"/>
      <c r="N31" s="35"/>
      <c r="O31" s="35"/>
      <c r="P31" s="35"/>
      <c r="Q31" s="7"/>
    </row>
    <row r="32" spans="1:25">
      <c r="A32" s="2553"/>
      <c r="B32" s="2566"/>
      <c r="C32" s="59">
        <v>2018</v>
      </c>
      <c r="D32" s="39"/>
      <c r="E32" s="38"/>
      <c r="F32" s="38"/>
      <c r="G32" s="58">
        <f>SUM(D32:F32)</f>
        <v>0</v>
      </c>
      <c r="H32" s="35"/>
      <c r="I32" s="35"/>
      <c r="J32" s="35"/>
      <c r="K32" s="35"/>
      <c r="L32" s="35"/>
      <c r="M32" s="35"/>
      <c r="N32" s="35"/>
      <c r="O32" s="35"/>
      <c r="P32" s="35"/>
      <c r="Q32" s="7"/>
    </row>
    <row r="33" spans="1:17">
      <c r="A33" s="2553"/>
      <c r="B33" s="2566"/>
      <c r="C33" s="60">
        <v>2019</v>
      </c>
      <c r="D33" s="39"/>
      <c r="E33" s="38"/>
      <c r="F33" s="38"/>
      <c r="G33" s="58">
        <f t="shared" si="2"/>
        <v>0</v>
      </c>
      <c r="H33" s="35"/>
      <c r="I33" s="35"/>
      <c r="J33" s="35"/>
      <c r="K33" s="35"/>
      <c r="L33" s="35"/>
      <c r="M33" s="35"/>
      <c r="N33" s="35"/>
      <c r="O33" s="35"/>
      <c r="P33" s="35"/>
      <c r="Q33" s="7"/>
    </row>
    <row r="34" spans="1:17">
      <c r="A34" s="2553"/>
      <c r="B34" s="2566"/>
      <c r="C34" s="59">
        <v>2020</v>
      </c>
      <c r="D34" s="39"/>
      <c r="E34" s="38"/>
      <c r="F34" s="38"/>
      <c r="G34" s="58">
        <f t="shared" si="2"/>
        <v>0</v>
      </c>
      <c r="H34" s="35"/>
      <c r="I34" s="35"/>
      <c r="J34" s="35"/>
      <c r="K34" s="35"/>
      <c r="L34" s="35"/>
      <c r="M34" s="35"/>
      <c r="N34" s="35"/>
      <c r="O34" s="35"/>
      <c r="P34" s="35"/>
      <c r="Q34" s="7"/>
    </row>
    <row r="35" spans="1:17" ht="78" customHeight="1" thickBot="1">
      <c r="A35" s="2554"/>
      <c r="B35" s="2567"/>
      <c r="C35" s="61" t="s">
        <v>13</v>
      </c>
      <c r="D35" s="435">
        <f>SUM(D28:D34)</f>
        <v>10661</v>
      </c>
      <c r="E35" s="94">
        <f>SUM(E28:E34)</f>
        <v>0</v>
      </c>
      <c r="F35" s="94">
        <f>SUM(F28:F34)</f>
        <v>500</v>
      </c>
      <c r="G35" s="436">
        <f t="shared" si="2"/>
        <v>11161</v>
      </c>
      <c r="H35" s="35"/>
      <c r="I35" s="35"/>
      <c r="J35" s="35"/>
      <c r="K35" s="35"/>
      <c r="L35" s="35"/>
      <c r="M35" s="35"/>
      <c r="N35" s="35"/>
      <c r="O35" s="35"/>
      <c r="P35" s="35"/>
      <c r="Q35" s="7"/>
    </row>
    <row r="36" spans="1:17">
      <c r="A36" s="1535"/>
      <c r="B36" s="1535"/>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1544" t="s">
        <v>26</v>
      </c>
      <c r="B39" s="1545" t="s">
        <v>171</v>
      </c>
      <c r="C39" s="68" t="s">
        <v>9</v>
      </c>
      <c r="D39" s="69" t="s">
        <v>28</v>
      </c>
      <c r="E39" s="70" t="s">
        <v>29</v>
      </c>
      <c r="F39" s="71"/>
      <c r="G39" s="28"/>
      <c r="H39" s="28"/>
    </row>
    <row r="40" spans="1:17">
      <c r="A40" s="2552"/>
      <c r="B40" s="2536" t="s">
        <v>420</v>
      </c>
      <c r="C40" s="72">
        <v>2014</v>
      </c>
      <c r="D40" s="30"/>
      <c r="E40" s="29"/>
      <c r="F40" s="7"/>
      <c r="G40" s="35"/>
      <c r="H40" s="35"/>
    </row>
    <row r="41" spans="1:17">
      <c r="A41" s="2553"/>
      <c r="B41" s="2555"/>
      <c r="C41" s="73">
        <v>2015</v>
      </c>
      <c r="D41" s="1590">
        <v>14349</v>
      </c>
      <c r="E41" s="1591">
        <v>82434</v>
      </c>
      <c r="F41" s="7" t="s">
        <v>421</v>
      </c>
      <c r="G41" s="35"/>
      <c r="H41" s="35"/>
    </row>
    <row r="42" spans="1:17">
      <c r="A42" s="2553"/>
      <c r="B42" s="2555"/>
      <c r="C42" s="73">
        <v>2016</v>
      </c>
      <c r="D42" s="1590">
        <v>175942</v>
      </c>
      <c r="E42" s="1592">
        <v>83198</v>
      </c>
      <c r="F42" s="7" t="s">
        <v>421</v>
      </c>
      <c r="G42" s="35"/>
      <c r="H42" s="35"/>
    </row>
    <row r="43" spans="1:17">
      <c r="A43" s="2553"/>
      <c r="B43" s="2555"/>
      <c r="C43" s="1593">
        <v>2017</v>
      </c>
      <c r="D43" s="1594">
        <v>166027</v>
      </c>
      <c r="E43" s="1592">
        <v>67871</v>
      </c>
      <c r="F43" s="7" t="s">
        <v>421</v>
      </c>
      <c r="G43" s="35"/>
      <c r="H43" s="35"/>
    </row>
    <row r="44" spans="1:17">
      <c r="A44" s="2553"/>
      <c r="B44" s="2555"/>
      <c r="C44" s="73">
        <v>2018</v>
      </c>
      <c r="D44" s="37"/>
      <c r="E44" s="36"/>
      <c r="F44" s="7"/>
      <c r="G44" s="35"/>
      <c r="H44" s="35"/>
    </row>
    <row r="45" spans="1:17">
      <c r="A45" s="2553"/>
      <c r="B45" s="2555"/>
      <c r="C45" s="73">
        <v>2019</v>
      </c>
      <c r="D45" s="37"/>
      <c r="E45" s="36"/>
      <c r="F45" s="7"/>
      <c r="G45" s="35"/>
      <c r="H45" s="35"/>
    </row>
    <row r="46" spans="1:17">
      <c r="A46" s="2553"/>
      <c r="B46" s="2555"/>
      <c r="C46" s="73">
        <v>2020</v>
      </c>
      <c r="D46" s="37"/>
      <c r="E46" s="36"/>
      <c r="F46" s="7"/>
      <c r="G46" s="35"/>
      <c r="H46" s="35"/>
    </row>
    <row r="47" spans="1:17" ht="15.75" thickBot="1">
      <c r="A47" s="2554"/>
      <c r="B47" s="2556"/>
      <c r="C47" s="42" t="s">
        <v>13</v>
      </c>
      <c r="D47" s="76">
        <f>SUM(D40:D46)</f>
        <v>356318</v>
      </c>
      <c r="E47" s="77">
        <f>SUM(E40:E46)</f>
        <v>233503</v>
      </c>
      <c r="F47" s="78"/>
      <c r="G47" s="35"/>
      <c r="H47" s="35"/>
    </row>
    <row r="48" spans="1:17" s="35" customFormat="1" ht="15.75" thickBot="1">
      <c r="A48" s="1595"/>
      <c r="B48" s="80"/>
      <c r="C48" s="81"/>
    </row>
    <row r="49" spans="1:15" ht="83.25" customHeight="1">
      <c r="A49" s="82" t="s">
        <v>32</v>
      </c>
      <c r="B49" s="1545" t="s">
        <v>171</v>
      </c>
      <c r="C49" s="84" t="s">
        <v>9</v>
      </c>
      <c r="D49" s="69" t="s">
        <v>34</v>
      </c>
      <c r="E49" s="85" t="s">
        <v>35</v>
      </c>
      <c r="F49" s="85" t="s">
        <v>36</v>
      </c>
      <c r="G49" s="85" t="s">
        <v>422</v>
      </c>
      <c r="H49" s="85" t="s">
        <v>38</v>
      </c>
      <c r="I49" s="85" t="s">
        <v>39</v>
      </c>
      <c r="J49" s="85" t="s">
        <v>423</v>
      </c>
      <c r="K49" s="86" t="s">
        <v>41</v>
      </c>
    </row>
    <row r="50" spans="1:15" ht="17.25" customHeight="1">
      <c r="A50" s="2552"/>
      <c r="B50" s="2536" t="s">
        <v>424</v>
      </c>
      <c r="C50" s="87" t="s">
        <v>43</v>
      </c>
      <c r="D50" s="30"/>
      <c r="E50" s="31"/>
      <c r="F50" s="31"/>
      <c r="G50" s="31"/>
      <c r="H50" s="31"/>
      <c r="I50" s="31"/>
      <c r="J50" s="31"/>
      <c r="K50" s="34"/>
    </row>
    <row r="51" spans="1:15" ht="15" customHeight="1">
      <c r="A51" s="2553"/>
      <c r="B51" s="2555"/>
      <c r="C51" s="73">
        <v>2014</v>
      </c>
      <c r="D51" s="37"/>
      <c r="E51" s="38"/>
      <c r="F51" s="38"/>
      <c r="G51" s="38"/>
      <c r="H51" s="38"/>
      <c r="I51" s="38"/>
      <c r="J51" s="38"/>
      <c r="K51" s="88"/>
    </row>
    <row r="52" spans="1:15">
      <c r="A52" s="2553"/>
      <c r="B52" s="2555"/>
      <c r="C52" s="73">
        <v>2015</v>
      </c>
      <c r="D52" s="37"/>
      <c r="E52" s="38"/>
      <c r="F52" s="38"/>
      <c r="G52" s="38"/>
      <c r="H52" s="38"/>
      <c r="I52" s="38"/>
      <c r="J52" s="38"/>
      <c r="K52" s="88"/>
    </row>
    <row r="53" spans="1:15">
      <c r="A53" s="2553"/>
      <c r="B53" s="2555"/>
      <c r="C53" s="73">
        <v>2016</v>
      </c>
      <c r="D53" s="37"/>
      <c r="E53" s="38"/>
      <c r="F53" s="38"/>
      <c r="G53" s="38"/>
      <c r="H53" s="38"/>
      <c r="I53" s="38"/>
      <c r="J53" s="38"/>
      <c r="K53" s="88"/>
    </row>
    <row r="54" spans="1:15">
      <c r="A54" s="2553"/>
      <c r="B54" s="2555"/>
      <c r="C54" s="1596">
        <v>2017</v>
      </c>
      <c r="D54" s="1597">
        <v>1</v>
      </c>
      <c r="E54" s="91"/>
      <c r="F54" s="91"/>
      <c r="G54" s="91">
        <v>152</v>
      </c>
      <c r="H54" s="91"/>
      <c r="I54" s="91"/>
      <c r="J54" s="91">
        <f>25+9</f>
        <v>34</v>
      </c>
      <c r="K54" s="603"/>
    </row>
    <row r="55" spans="1:15">
      <c r="A55" s="2553"/>
      <c r="B55" s="2555"/>
      <c r="C55" s="73">
        <v>2018</v>
      </c>
      <c r="D55" s="37"/>
      <c r="E55" s="38"/>
      <c r="F55" s="38"/>
      <c r="G55" s="38"/>
      <c r="H55" s="38"/>
      <c r="I55" s="38"/>
      <c r="J55" s="38"/>
      <c r="K55" s="88"/>
    </row>
    <row r="56" spans="1:15">
      <c r="A56" s="2553"/>
      <c r="B56" s="2555"/>
      <c r="C56" s="73">
        <v>2019</v>
      </c>
      <c r="D56" s="37"/>
      <c r="E56" s="38"/>
      <c r="F56" s="38"/>
      <c r="G56" s="38"/>
      <c r="H56" s="38"/>
      <c r="I56" s="38"/>
      <c r="J56" s="38"/>
      <c r="K56" s="88"/>
    </row>
    <row r="57" spans="1:15">
      <c r="A57" s="2553"/>
      <c r="B57" s="2555"/>
      <c r="C57" s="73">
        <v>2020</v>
      </c>
      <c r="D57" s="37"/>
      <c r="E57" s="38"/>
      <c r="F57" s="38"/>
      <c r="G57" s="38"/>
      <c r="H57" s="38"/>
      <c r="I57" s="38"/>
      <c r="J57" s="38"/>
      <c r="K57" s="93"/>
    </row>
    <row r="58" spans="1:15" ht="26.25" customHeight="1" thickBot="1">
      <c r="A58" s="2554"/>
      <c r="B58" s="2556"/>
      <c r="C58" s="42" t="s">
        <v>13</v>
      </c>
      <c r="D58" s="43">
        <f>SUM(D51:D57)</f>
        <v>1</v>
      </c>
      <c r="E58" s="44">
        <f>SUM(E51:E57)</f>
        <v>0</v>
      </c>
      <c r="F58" s="44">
        <f>SUM(F51:F57)</f>
        <v>0</v>
      </c>
      <c r="G58" s="44">
        <f>SUM(G51:G57)</f>
        <v>152</v>
      </c>
      <c r="H58" s="44">
        <f>SUM(H51:H57)</f>
        <v>0</v>
      </c>
      <c r="I58" s="44">
        <f t="shared" ref="I58" si="3">SUM(I51:I57)</f>
        <v>0</v>
      </c>
      <c r="J58" s="44">
        <f>SUM(J51:J57)</f>
        <v>34</v>
      </c>
      <c r="K58" s="48">
        <f>SUM(K50:K56)</f>
        <v>0</v>
      </c>
    </row>
    <row r="59" spans="1:15" ht="15.75" thickBot="1"/>
    <row r="60" spans="1:15" ht="21" customHeight="1">
      <c r="A60" s="2427" t="s">
        <v>44</v>
      </c>
      <c r="B60" s="2560" t="s">
        <v>171</v>
      </c>
      <c r="C60" s="2429" t="s">
        <v>9</v>
      </c>
      <c r="D60" s="2417" t="s">
        <v>45</v>
      </c>
      <c r="E60" s="96" t="s">
        <v>6</v>
      </c>
      <c r="F60" s="1542"/>
      <c r="G60" s="1542"/>
      <c r="H60" s="1542"/>
      <c r="I60" s="1542"/>
      <c r="J60" s="1542"/>
      <c r="K60" s="1542"/>
      <c r="L60" s="1543"/>
    </row>
    <row r="61" spans="1:15" ht="115.5" customHeight="1">
      <c r="A61" s="1970"/>
      <c r="B61" s="2561"/>
      <c r="C61" s="1972"/>
      <c r="D61" s="1942"/>
      <c r="E61" s="100" t="s">
        <v>14</v>
      </c>
      <c r="F61" s="101" t="s">
        <v>15</v>
      </c>
      <c r="G61" s="101" t="s">
        <v>16</v>
      </c>
      <c r="H61" s="102" t="s">
        <v>17</v>
      </c>
      <c r="I61" s="102" t="s">
        <v>18</v>
      </c>
      <c r="J61" s="103" t="s">
        <v>19</v>
      </c>
      <c r="K61" s="101" t="s">
        <v>20</v>
      </c>
      <c r="L61" s="104" t="s">
        <v>21</v>
      </c>
      <c r="M61" s="105"/>
      <c r="N61" s="7"/>
      <c r="O61" s="7"/>
    </row>
    <row r="62" spans="1:15" ht="15" customHeight="1">
      <c r="A62" s="2562"/>
      <c r="B62" s="2536" t="s">
        <v>425</v>
      </c>
      <c r="C62" s="106">
        <v>2014</v>
      </c>
      <c r="D62" s="107"/>
      <c r="E62" s="108"/>
      <c r="F62" s="109"/>
      <c r="G62" s="109"/>
      <c r="H62" s="109"/>
      <c r="I62" s="109"/>
      <c r="J62" s="109"/>
      <c r="K62" s="109"/>
      <c r="L62" s="34"/>
      <c r="M62" s="7"/>
      <c r="N62" s="7"/>
      <c r="O62" s="7"/>
    </row>
    <row r="63" spans="1:15">
      <c r="A63" s="2563"/>
      <c r="B63" s="2564"/>
      <c r="C63" s="110">
        <v>2015</v>
      </c>
      <c r="D63" s="111">
        <v>2</v>
      </c>
      <c r="E63" s="112">
        <v>2</v>
      </c>
      <c r="F63" s="38"/>
      <c r="G63" s="38"/>
      <c r="H63" s="38"/>
      <c r="I63" s="38"/>
      <c r="J63" s="38"/>
      <c r="K63" s="38"/>
      <c r="L63" s="88"/>
      <c r="M63" s="7"/>
      <c r="N63" s="7"/>
      <c r="O63" s="7"/>
    </row>
    <row r="64" spans="1:15">
      <c r="A64" s="2563"/>
      <c r="B64" s="2564"/>
      <c r="C64" s="110">
        <v>2016</v>
      </c>
      <c r="D64" s="111">
        <v>19</v>
      </c>
      <c r="E64" s="112">
        <v>19</v>
      </c>
      <c r="F64" s="38"/>
      <c r="G64" s="38"/>
      <c r="H64" s="38"/>
      <c r="I64" s="38"/>
      <c r="J64" s="38"/>
      <c r="K64" s="38"/>
      <c r="L64" s="88"/>
      <c r="M64" s="7"/>
      <c r="N64" s="7"/>
      <c r="O64" s="7"/>
    </row>
    <row r="65" spans="1:20">
      <c r="A65" s="2563"/>
      <c r="B65" s="2564"/>
      <c r="C65" s="479">
        <v>2017</v>
      </c>
      <c r="D65" s="1598">
        <f>29+12+1+1+1+1+1</f>
        <v>46</v>
      </c>
      <c r="E65" s="600">
        <f>29+12+1+1+1+1+1</f>
        <v>46</v>
      </c>
      <c r="F65" s="91"/>
      <c r="G65" s="91"/>
      <c r="H65" s="91"/>
      <c r="I65" s="91"/>
      <c r="J65" s="91"/>
      <c r="K65" s="91"/>
      <c r="L65" s="603"/>
      <c r="M65" s="7"/>
      <c r="N65" s="7"/>
      <c r="O65" s="7"/>
    </row>
    <row r="66" spans="1:20">
      <c r="A66" s="2563"/>
      <c r="B66" s="2564"/>
      <c r="C66" s="110">
        <v>2018</v>
      </c>
      <c r="D66" s="111"/>
      <c r="E66" s="112"/>
      <c r="F66" s="38"/>
      <c r="G66" s="38"/>
      <c r="H66" s="38"/>
      <c r="I66" s="38"/>
      <c r="J66" s="38"/>
      <c r="K66" s="38"/>
      <c r="L66" s="88"/>
      <c r="M66" s="7"/>
      <c r="N66" s="7"/>
      <c r="O66" s="7"/>
    </row>
    <row r="67" spans="1:20" ht="17.25" customHeight="1">
      <c r="A67" s="2563"/>
      <c r="B67" s="2564"/>
      <c r="C67" s="110">
        <v>2019</v>
      </c>
      <c r="D67" s="111"/>
      <c r="E67" s="112"/>
      <c r="F67" s="38"/>
      <c r="G67" s="38"/>
      <c r="H67" s="38"/>
      <c r="I67" s="38"/>
      <c r="J67" s="38"/>
      <c r="K67" s="38"/>
      <c r="L67" s="88"/>
      <c r="M67" s="7"/>
      <c r="N67" s="7"/>
      <c r="O67" s="7"/>
    </row>
    <row r="68" spans="1:20" ht="16.5" customHeight="1">
      <c r="A68" s="2563"/>
      <c r="B68" s="2564"/>
      <c r="C68" s="110">
        <v>2020</v>
      </c>
      <c r="D68" s="111"/>
      <c r="E68" s="112"/>
      <c r="F68" s="38"/>
      <c r="G68" s="38"/>
      <c r="H68" s="38"/>
      <c r="I68" s="38"/>
      <c r="J68" s="38"/>
      <c r="K68" s="38"/>
      <c r="L68" s="88"/>
      <c r="M68" s="78"/>
      <c r="N68" s="78"/>
      <c r="O68" s="78"/>
    </row>
    <row r="69" spans="1:20" ht="400.5" customHeight="1">
      <c r="A69" s="2563"/>
      <c r="B69" s="2564"/>
      <c r="C69" s="1599" t="s">
        <v>13</v>
      </c>
      <c r="D69" s="1600">
        <f>SUM(D62:D68)</f>
        <v>67</v>
      </c>
      <c r="E69" s="1601">
        <f>SUM(E62:E68)</f>
        <v>67</v>
      </c>
      <c r="F69" s="1602">
        <f t="shared" ref="F69:H69" si="4">SUM(F62:F68)</f>
        <v>0</v>
      </c>
      <c r="G69" s="1602">
        <f t="shared" si="4"/>
        <v>0</v>
      </c>
      <c r="H69" s="1602">
        <f t="shared" si="4"/>
        <v>0</v>
      </c>
      <c r="I69" s="1602">
        <f>SUM(I62:I68)</f>
        <v>0</v>
      </c>
      <c r="J69" s="1602">
        <f>SUM(J62:J68)</f>
        <v>0</v>
      </c>
      <c r="K69" s="1602">
        <f>SUM(K62:K68)</f>
        <v>0</v>
      </c>
      <c r="L69" s="1603">
        <f>SUM(L62:L68)</f>
        <v>0</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1544" t="s">
        <v>47</v>
      </c>
      <c r="B71" s="1545" t="s">
        <v>171</v>
      </c>
      <c r="C71" s="68" t="s">
        <v>9</v>
      </c>
      <c r="D71" s="123" t="s">
        <v>426</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2552"/>
      <c r="B72" s="2536" t="s">
        <v>427</v>
      </c>
      <c r="C72" s="72">
        <v>2014</v>
      </c>
      <c r="D72" s="131"/>
      <c r="E72" s="131"/>
      <c r="F72" s="131"/>
      <c r="G72" s="132">
        <f>SUM(D72:F72)</f>
        <v>0</v>
      </c>
      <c r="H72" s="30"/>
      <c r="I72" s="133"/>
      <c r="J72" s="109"/>
      <c r="K72" s="109"/>
      <c r="L72" s="109"/>
      <c r="M72" s="109"/>
      <c r="N72" s="109"/>
      <c r="O72" s="134"/>
    </row>
    <row r="73" spans="1:20">
      <c r="A73" s="2553"/>
      <c r="B73" s="2555"/>
      <c r="C73" s="73">
        <v>2015</v>
      </c>
      <c r="D73" s="135"/>
      <c r="E73" s="135"/>
      <c r="F73" s="135"/>
      <c r="G73" s="132">
        <f t="shared" ref="G73:G78" si="5">SUM(D73:F73)</f>
        <v>0</v>
      </c>
      <c r="H73" s="37"/>
      <c r="I73" s="37"/>
      <c r="J73" s="38"/>
      <c r="K73" s="38"/>
      <c r="L73" s="38"/>
      <c r="M73" s="38"/>
      <c r="N73" s="38"/>
      <c r="O73" s="88"/>
    </row>
    <row r="74" spans="1:20">
      <c r="A74" s="2553"/>
      <c r="B74" s="2555"/>
      <c r="C74" s="73">
        <v>2016</v>
      </c>
      <c r="D74" s="135"/>
      <c r="E74" s="135"/>
      <c r="F74" s="135"/>
      <c r="G74" s="132">
        <f t="shared" si="5"/>
        <v>0</v>
      </c>
      <c r="H74" s="37"/>
      <c r="I74" s="37"/>
      <c r="J74" s="38"/>
      <c r="K74" s="38"/>
      <c r="L74" s="38"/>
      <c r="M74" s="38"/>
      <c r="N74" s="38"/>
      <c r="O74" s="88"/>
    </row>
    <row r="75" spans="1:20">
      <c r="A75" s="2553"/>
      <c r="B75" s="2555"/>
      <c r="C75" s="1593">
        <v>2017</v>
      </c>
      <c r="D75" s="512">
        <v>1</v>
      </c>
      <c r="E75" s="512"/>
      <c r="F75" s="512"/>
      <c r="G75" s="132">
        <f t="shared" si="5"/>
        <v>1</v>
      </c>
      <c r="H75" s="90">
        <v>1</v>
      </c>
      <c r="I75" s="90"/>
      <c r="J75" s="91"/>
      <c r="K75" s="91"/>
      <c r="L75" s="91"/>
      <c r="M75" s="91"/>
      <c r="N75" s="91"/>
      <c r="O75" s="603"/>
    </row>
    <row r="76" spans="1:20">
      <c r="A76" s="2553"/>
      <c r="B76" s="2555"/>
      <c r="C76" s="73">
        <v>2018</v>
      </c>
      <c r="D76" s="135"/>
      <c r="E76" s="135"/>
      <c r="F76" s="135"/>
      <c r="G76" s="132">
        <f t="shared" si="5"/>
        <v>0</v>
      </c>
      <c r="H76" s="37"/>
      <c r="I76" s="37"/>
      <c r="J76" s="38"/>
      <c r="K76" s="38"/>
      <c r="L76" s="38"/>
      <c r="M76" s="38"/>
      <c r="N76" s="38"/>
      <c r="O76" s="88"/>
    </row>
    <row r="77" spans="1:20" ht="15.75" customHeight="1">
      <c r="A77" s="2553"/>
      <c r="B77" s="2555"/>
      <c r="C77" s="73">
        <v>2019</v>
      </c>
      <c r="D77" s="135"/>
      <c r="E77" s="135"/>
      <c r="F77" s="135"/>
      <c r="G77" s="132">
        <f t="shared" si="5"/>
        <v>0</v>
      </c>
      <c r="H77" s="37"/>
      <c r="I77" s="37"/>
      <c r="J77" s="38"/>
      <c r="K77" s="38"/>
      <c r="L77" s="38"/>
      <c r="M77" s="38"/>
      <c r="N77" s="38"/>
      <c r="O77" s="88"/>
    </row>
    <row r="78" spans="1:20" ht="17.25" customHeight="1">
      <c r="A78" s="2553"/>
      <c r="B78" s="2555"/>
      <c r="C78" s="73">
        <v>2020</v>
      </c>
      <c r="D78" s="135"/>
      <c r="E78" s="135"/>
      <c r="F78" s="135"/>
      <c r="G78" s="132">
        <f t="shared" si="5"/>
        <v>0</v>
      </c>
      <c r="H78" s="37"/>
      <c r="I78" s="37"/>
      <c r="J78" s="38"/>
      <c r="K78" s="38"/>
      <c r="L78" s="38"/>
      <c r="M78" s="38"/>
      <c r="N78" s="38"/>
      <c r="O78" s="88"/>
    </row>
    <row r="79" spans="1:20" ht="60" customHeight="1" thickBot="1">
      <c r="A79" s="2554"/>
      <c r="B79" s="2556"/>
      <c r="C79" s="136" t="s">
        <v>13</v>
      </c>
      <c r="D79" s="114">
        <f>SUM(D72:D78)</f>
        <v>1</v>
      </c>
      <c r="E79" s="114">
        <f>SUM(E72:E78)</f>
        <v>0</v>
      </c>
      <c r="F79" s="114">
        <f>SUM(F72:F78)</f>
        <v>0</v>
      </c>
      <c r="G79" s="137">
        <f>SUM(G72:G78)</f>
        <v>1</v>
      </c>
      <c r="H79" s="138">
        <v>0</v>
      </c>
      <c r="I79" s="139">
        <f t="shared" ref="I79:O79" si="6">SUM(I72:I78)</f>
        <v>0</v>
      </c>
      <c r="J79" s="116">
        <f t="shared" si="6"/>
        <v>0</v>
      </c>
      <c r="K79" s="116">
        <f t="shared" si="6"/>
        <v>0</v>
      </c>
      <c r="L79" s="116">
        <f t="shared" si="6"/>
        <v>0</v>
      </c>
      <c r="M79" s="116">
        <f t="shared" si="6"/>
        <v>0</v>
      </c>
      <c r="N79" s="116">
        <f t="shared" si="6"/>
        <v>0</v>
      </c>
      <c r="O79" s="117">
        <f t="shared" si="6"/>
        <v>0</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47" customHeight="1">
      <c r="A84" s="1546" t="s">
        <v>56</v>
      </c>
      <c r="B84" s="1547" t="s">
        <v>178</v>
      </c>
      <c r="C84" s="149" t="s">
        <v>9</v>
      </c>
      <c r="D84" s="150" t="s">
        <v>428</v>
      </c>
      <c r="E84" s="151" t="s">
        <v>59</v>
      </c>
      <c r="F84" s="152" t="s">
        <v>60</v>
      </c>
      <c r="G84" s="152" t="s">
        <v>61</v>
      </c>
      <c r="H84" s="152" t="s">
        <v>62</v>
      </c>
      <c r="I84" s="152" t="s">
        <v>63</v>
      </c>
      <c r="J84" s="152" t="s">
        <v>64</v>
      </c>
      <c r="K84" s="153" t="s">
        <v>65</v>
      </c>
    </row>
    <row r="85" spans="1:16" ht="15" customHeight="1">
      <c r="A85" s="2557"/>
      <c r="B85" s="2078" t="s">
        <v>429</v>
      </c>
      <c r="C85" s="72">
        <v>2014</v>
      </c>
      <c r="D85" s="154"/>
      <c r="E85" s="155"/>
      <c r="F85" s="31"/>
      <c r="G85" s="31"/>
      <c r="H85" s="31"/>
      <c r="I85" s="31"/>
      <c r="J85" s="31"/>
      <c r="K85" s="34"/>
    </row>
    <row r="86" spans="1:16">
      <c r="A86" s="2558"/>
      <c r="B86" s="2079"/>
      <c r="C86" s="73">
        <v>2015</v>
      </c>
      <c r="D86" s="156"/>
      <c r="E86" s="112"/>
      <c r="F86" s="38"/>
      <c r="G86" s="38"/>
      <c r="H86" s="38"/>
      <c r="I86" s="38"/>
      <c r="J86" s="38"/>
      <c r="K86" s="88"/>
    </row>
    <row r="87" spans="1:16">
      <c r="A87" s="2558"/>
      <c r="B87" s="2079"/>
      <c r="C87" s="73">
        <v>2016</v>
      </c>
      <c r="D87" s="156"/>
      <c r="E87" s="112"/>
      <c r="F87" s="38"/>
      <c r="G87" s="38"/>
      <c r="H87" s="38"/>
      <c r="I87" s="38"/>
      <c r="J87" s="38"/>
      <c r="K87" s="88"/>
    </row>
    <row r="88" spans="1:16">
      <c r="A88" s="2558"/>
      <c r="B88" s="2079"/>
      <c r="C88" s="1593">
        <v>2017</v>
      </c>
      <c r="D88" s="411">
        <v>12</v>
      </c>
      <c r="E88" s="600">
        <v>12</v>
      </c>
      <c r="F88" s="91"/>
      <c r="G88" s="91"/>
      <c r="H88" s="91"/>
      <c r="I88" s="91"/>
      <c r="J88" s="91"/>
      <c r="K88" s="603"/>
    </row>
    <row r="89" spans="1:16">
      <c r="A89" s="2558"/>
      <c r="B89" s="2079"/>
      <c r="C89" s="73">
        <v>2018</v>
      </c>
      <c r="D89" s="156"/>
      <c r="E89" s="112"/>
      <c r="F89" s="38"/>
      <c r="G89" s="38"/>
      <c r="H89" s="38"/>
      <c r="I89" s="38"/>
      <c r="J89" s="38"/>
      <c r="K89" s="88"/>
    </row>
    <row r="90" spans="1:16">
      <c r="A90" s="2558"/>
      <c r="B90" s="2079"/>
      <c r="C90" s="73">
        <v>2019</v>
      </c>
      <c r="D90" s="156"/>
      <c r="E90" s="112"/>
      <c r="F90" s="38"/>
      <c r="G90" s="38"/>
      <c r="H90" s="38"/>
      <c r="I90" s="38"/>
      <c r="J90" s="38"/>
      <c r="K90" s="88"/>
    </row>
    <row r="91" spans="1:16">
      <c r="A91" s="2558"/>
      <c r="B91" s="2079"/>
      <c r="C91" s="73">
        <v>2020</v>
      </c>
      <c r="D91" s="156"/>
      <c r="E91" s="112"/>
      <c r="F91" s="38"/>
      <c r="G91" s="38"/>
      <c r="H91" s="38"/>
      <c r="I91" s="38"/>
      <c r="J91" s="38"/>
      <c r="K91" s="88"/>
    </row>
    <row r="92" spans="1:16" ht="18" customHeight="1" thickBot="1">
      <c r="A92" s="2559"/>
      <c r="B92" s="2080"/>
      <c r="C92" s="136" t="s">
        <v>13</v>
      </c>
      <c r="D92" s="157">
        <f t="shared" ref="D92:I92" si="7">SUM(D85:D91)</f>
        <v>12</v>
      </c>
      <c r="E92" s="115">
        <f t="shared" si="7"/>
        <v>12</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405" t="s">
        <v>68</v>
      </c>
      <c r="B96" s="2407" t="s">
        <v>179</v>
      </c>
      <c r="C96" s="2413" t="s">
        <v>9</v>
      </c>
      <c r="D96" s="1916" t="s">
        <v>70</v>
      </c>
      <c r="E96" s="1917"/>
      <c r="F96" s="162" t="s">
        <v>71</v>
      </c>
      <c r="G96" s="1548"/>
      <c r="H96" s="1548"/>
      <c r="I96" s="1548"/>
      <c r="J96" s="1548"/>
      <c r="K96" s="1548"/>
      <c r="L96" s="1548"/>
      <c r="M96" s="1549"/>
      <c r="N96" s="165"/>
      <c r="O96" s="165"/>
      <c r="P96" s="165"/>
    </row>
    <row r="97" spans="1:16" ht="100.5" customHeight="1">
      <c r="A97" s="1910"/>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2546"/>
      <c r="B98" s="2549"/>
      <c r="C98" s="106">
        <v>2014</v>
      </c>
      <c r="D98" s="30"/>
      <c r="E98" s="31"/>
      <c r="F98" s="174"/>
      <c r="G98" s="175"/>
      <c r="H98" s="175"/>
      <c r="I98" s="175"/>
      <c r="J98" s="175"/>
      <c r="K98" s="175"/>
      <c r="L98" s="175"/>
      <c r="M98" s="176"/>
      <c r="N98" s="165"/>
      <c r="O98" s="165"/>
      <c r="P98" s="165"/>
    </row>
    <row r="99" spans="1:16" ht="16.5" customHeight="1">
      <c r="A99" s="2547"/>
      <c r="B99" s="2550"/>
      <c r="C99" s="110">
        <v>2015</v>
      </c>
      <c r="D99" s="37"/>
      <c r="E99" s="38"/>
      <c r="F99" s="177"/>
      <c r="G99" s="178"/>
      <c r="H99" s="178"/>
      <c r="I99" s="178"/>
      <c r="J99" s="178"/>
      <c r="K99" s="178"/>
      <c r="L99" s="178"/>
      <c r="M99" s="179"/>
      <c r="N99" s="165"/>
      <c r="O99" s="165"/>
      <c r="P99" s="165"/>
    </row>
    <row r="100" spans="1:16" ht="16.5" customHeight="1">
      <c r="A100" s="2547"/>
      <c r="B100" s="2550"/>
      <c r="C100" s="110">
        <v>2016</v>
      </c>
      <c r="D100" s="37"/>
      <c r="E100" s="38"/>
      <c r="F100" s="177"/>
      <c r="G100" s="178"/>
      <c r="H100" s="178"/>
      <c r="I100" s="178"/>
      <c r="J100" s="178"/>
      <c r="K100" s="178"/>
      <c r="L100" s="178"/>
      <c r="M100" s="179"/>
      <c r="N100" s="165"/>
      <c r="O100" s="165"/>
      <c r="P100" s="165"/>
    </row>
    <row r="101" spans="1:16" ht="16.5" customHeight="1">
      <c r="A101" s="2547"/>
      <c r="B101" s="2550"/>
      <c r="C101" s="479">
        <v>2017</v>
      </c>
      <c r="D101" s="90"/>
      <c r="E101" s="91"/>
      <c r="F101" s="1604"/>
      <c r="G101" s="1605"/>
      <c r="H101" s="1605"/>
      <c r="I101" s="1605"/>
      <c r="J101" s="1605"/>
      <c r="K101" s="1605"/>
      <c r="L101" s="1605"/>
      <c r="M101" s="551"/>
      <c r="N101" s="165"/>
      <c r="O101" s="165"/>
      <c r="P101" s="165"/>
    </row>
    <row r="102" spans="1:16" ht="15.75" customHeight="1">
      <c r="A102" s="2547"/>
      <c r="B102" s="2550"/>
      <c r="C102" s="110">
        <v>2018</v>
      </c>
      <c r="D102" s="37"/>
      <c r="E102" s="38"/>
      <c r="F102" s="177"/>
      <c r="G102" s="178"/>
      <c r="H102" s="178"/>
      <c r="I102" s="178"/>
      <c r="J102" s="178"/>
      <c r="K102" s="178"/>
      <c r="L102" s="178"/>
      <c r="M102" s="179"/>
      <c r="N102" s="165"/>
      <c r="O102" s="165"/>
      <c r="P102" s="165"/>
    </row>
    <row r="103" spans="1:16" ht="14.25" customHeight="1">
      <c r="A103" s="2547"/>
      <c r="B103" s="2550"/>
      <c r="C103" s="110">
        <v>2019</v>
      </c>
      <c r="D103" s="37"/>
      <c r="E103" s="38"/>
      <c r="F103" s="177"/>
      <c r="G103" s="178"/>
      <c r="H103" s="178"/>
      <c r="I103" s="178"/>
      <c r="J103" s="178"/>
      <c r="K103" s="178"/>
      <c r="L103" s="178"/>
      <c r="M103" s="179"/>
      <c r="N103" s="165"/>
      <c r="O103" s="165"/>
      <c r="P103" s="165"/>
    </row>
    <row r="104" spans="1:16" ht="14.25" customHeight="1">
      <c r="A104" s="2547"/>
      <c r="B104" s="2550"/>
      <c r="C104" s="110">
        <v>2020</v>
      </c>
      <c r="D104" s="37"/>
      <c r="E104" s="38"/>
      <c r="F104" s="177"/>
      <c r="G104" s="178"/>
      <c r="H104" s="178"/>
      <c r="I104" s="178"/>
      <c r="J104" s="178"/>
      <c r="K104" s="178"/>
      <c r="L104" s="178"/>
      <c r="M104" s="179"/>
      <c r="N104" s="165"/>
      <c r="O104" s="165"/>
      <c r="P104" s="165"/>
    </row>
    <row r="105" spans="1:16" ht="19.5" customHeight="1" thickBot="1">
      <c r="A105" s="2548"/>
      <c r="B105" s="2551"/>
      <c r="C105" s="113" t="s">
        <v>13</v>
      </c>
      <c r="D105" s="139">
        <f>SUM(D98:D104)</f>
        <v>0</v>
      </c>
      <c r="E105" s="116">
        <f t="shared" ref="E105:K105" si="8">SUM(E98:E104)</f>
        <v>0</v>
      </c>
      <c r="F105" s="180">
        <f t="shared" si="8"/>
        <v>0</v>
      </c>
      <c r="G105" s="181">
        <f t="shared" si="8"/>
        <v>0</v>
      </c>
      <c r="H105" s="181">
        <f t="shared" si="8"/>
        <v>0</v>
      </c>
      <c r="I105" s="181">
        <f>SUM(I98:I104)</f>
        <v>0</v>
      </c>
      <c r="J105" s="181">
        <f t="shared" si="8"/>
        <v>0</v>
      </c>
      <c r="K105" s="181">
        <f t="shared" si="8"/>
        <v>0</v>
      </c>
      <c r="L105" s="181">
        <f>SUM(L98:L104)</f>
        <v>0</v>
      </c>
      <c r="M105" s="182">
        <f>SUM(M98:M104)</f>
        <v>0</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405" t="s">
        <v>77</v>
      </c>
      <c r="B107" s="2407" t="s">
        <v>179</v>
      </c>
      <c r="C107" s="2413" t="s">
        <v>9</v>
      </c>
      <c r="D107" s="2414" t="s">
        <v>430</v>
      </c>
      <c r="E107" s="162" t="s">
        <v>79</v>
      </c>
      <c r="F107" s="1548"/>
      <c r="G107" s="1548"/>
      <c r="H107" s="1548"/>
      <c r="I107" s="1548"/>
      <c r="J107" s="1548"/>
      <c r="K107" s="1548"/>
      <c r="L107" s="1549"/>
      <c r="M107" s="185"/>
      <c r="N107" s="185"/>
    </row>
    <row r="108" spans="1:16" ht="103.5"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2546"/>
      <c r="B109" s="2536" t="s">
        <v>431</v>
      </c>
      <c r="C109" s="106">
        <v>2014</v>
      </c>
      <c r="D109" s="31"/>
      <c r="E109" s="174"/>
      <c r="F109" s="175"/>
      <c r="G109" s="175"/>
      <c r="H109" s="175"/>
      <c r="I109" s="175"/>
      <c r="J109" s="175"/>
      <c r="K109" s="175"/>
      <c r="L109" s="176"/>
      <c r="M109" s="185"/>
      <c r="N109" s="185"/>
    </row>
    <row r="110" spans="1:16">
      <c r="A110" s="2547"/>
      <c r="B110" s="2555"/>
      <c r="C110" s="110">
        <v>2015</v>
      </c>
      <c r="D110" s="38"/>
      <c r="E110" s="177"/>
      <c r="F110" s="178"/>
      <c r="G110" s="178"/>
      <c r="H110" s="178"/>
      <c r="I110" s="178"/>
      <c r="J110" s="178"/>
      <c r="K110" s="178"/>
      <c r="L110" s="179"/>
      <c r="M110" s="185"/>
      <c r="N110" s="185"/>
    </row>
    <row r="111" spans="1:16">
      <c r="A111" s="2547"/>
      <c r="B111" s="2555"/>
      <c r="C111" s="110">
        <v>2016</v>
      </c>
      <c r="D111" s="38"/>
      <c r="E111" s="177"/>
      <c r="F111" s="178"/>
      <c r="G111" s="178"/>
      <c r="H111" s="178"/>
      <c r="I111" s="178"/>
      <c r="J111" s="178"/>
      <c r="K111" s="178"/>
      <c r="L111" s="179"/>
      <c r="M111" s="185"/>
      <c r="N111" s="185"/>
    </row>
    <row r="112" spans="1:16">
      <c r="A112" s="2547"/>
      <c r="B112" s="2555"/>
      <c r="C112" s="479">
        <v>2017</v>
      </c>
      <c r="D112" s="91">
        <v>22</v>
      </c>
      <c r="E112" s="1604">
        <v>22</v>
      </c>
      <c r="F112" s="1605"/>
      <c r="G112" s="1605"/>
      <c r="H112" s="1605"/>
      <c r="I112" s="1605"/>
      <c r="J112" s="1605"/>
      <c r="K112" s="1605"/>
      <c r="L112" s="551"/>
      <c r="M112" s="185"/>
      <c r="N112" s="185"/>
    </row>
    <row r="113" spans="1:14">
      <c r="A113" s="2547"/>
      <c r="B113" s="2555"/>
      <c r="C113" s="110">
        <v>2018</v>
      </c>
      <c r="D113" s="38"/>
      <c r="E113" s="177"/>
      <c r="F113" s="178"/>
      <c r="G113" s="178"/>
      <c r="H113" s="178"/>
      <c r="I113" s="178"/>
      <c r="J113" s="178"/>
      <c r="K113" s="178"/>
      <c r="L113" s="179"/>
      <c r="M113" s="185"/>
      <c r="N113" s="185"/>
    </row>
    <row r="114" spans="1:14">
      <c r="A114" s="2547"/>
      <c r="B114" s="2555"/>
      <c r="C114" s="110">
        <v>2019</v>
      </c>
      <c r="D114" s="38"/>
      <c r="E114" s="177"/>
      <c r="F114" s="178"/>
      <c r="G114" s="178"/>
      <c r="H114" s="178"/>
      <c r="I114" s="178"/>
      <c r="J114" s="178"/>
      <c r="K114" s="178"/>
      <c r="L114" s="179"/>
      <c r="M114" s="185"/>
      <c r="N114" s="185"/>
    </row>
    <row r="115" spans="1:14">
      <c r="A115" s="2547"/>
      <c r="B115" s="2555"/>
      <c r="C115" s="110">
        <v>2020</v>
      </c>
      <c r="D115" s="38"/>
      <c r="E115" s="177"/>
      <c r="F115" s="178"/>
      <c r="G115" s="178"/>
      <c r="H115" s="178"/>
      <c r="I115" s="178"/>
      <c r="J115" s="178"/>
      <c r="K115" s="178"/>
      <c r="L115" s="179"/>
      <c r="M115" s="185"/>
      <c r="N115" s="185"/>
    </row>
    <row r="116" spans="1:14" ht="25.5" customHeight="1" thickBot="1">
      <c r="A116" s="2548"/>
      <c r="B116" s="2556"/>
      <c r="C116" s="113" t="s">
        <v>13</v>
      </c>
      <c r="D116" s="116">
        <f t="shared" ref="D116:I116" si="9">SUM(D109:D115)</f>
        <v>22</v>
      </c>
      <c r="E116" s="180">
        <f t="shared" si="9"/>
        <v>22</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405" t="s">
        <v>81</v>
      </c>
      <c r="B118" s="2407" t="s">
        <v>179</v>
      </c>
      <c r="C118" s="2413" t="s">
        <v>9</v>
      </c>
      <c r="D118" s="2414" t="s">
        <v>82</v>
      </c>
      <c r="E118" s="162" t="s">
        <v>79</v>
      </c>
      <c r="F118" s="1548"/>
      <c r="G118" s="1548"/>
      <c r="H118" s="1548"/>
      <c r="I118" s="1548"/>
      <c r="J118" s="1548"/>
      <c r="K118" s="1548"/>
      <c r="L118" s="1549"/>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2546"/>
      <c r="B120" s="2549"/>
      <c r="C120" s="106">
        <v>2014</v>
      </c>
      <c r="D120" s="31"/>
      <c r="E120" s="174"/>
      <c r="F120" s="175"/>
      <c r="G120" s="175"/>
      <c r="H120" s="175"/>
      <c r="I120" s="175"/>
      <c r="J120" s="175"/>
      <c r="K120" s="175"/>
      <c r="L120" s="176"/>
      <c r="M120" s="185"/>
      <c r="N120" s="185"/>
    </row>
    <row r="121" spans="1:14">
      <c r="A121" s="2547"/>
      <c r="B121" s="2550"/>
      <c r="C121" s="110">
        <v>2015</v>
      </c>
      <c r="D121" s="38"/>
      <c r="E121" s="177"/>
      <c r="F121" s="178"/>
      <c r="G121" s="178"/>
      <c r="H121" s="178"/>
      <c r="I121" s="178"/>
      <c r="J121" s="178"/>
      <c r="K121" s="178"/>
      <c r="L121" s="179"/>
      <c r="M121" s="185"/>
      <c r="N121" s="185"/>
    </row>
    <row r="122" spans="1:14">
      <c r="A122" s="2547"/>
      <c r="B122" s="2550"/>
      <c r="C122" s="110">
        <v>2016</v>
      </c>
      <c r="D122" s="38"/>
      <c r="E122" s="177"/>
      <c r="F122" s="178"/>
      <c r="G122" s="178"/>
      <c r="H122" s="178"/>
      <c r="I122" s="178"/>
      <c r="J122" s="178"/>
      <c r="K122" s="178"/>
      <c r="L122" s="179"/>
      <c r="M122" s="185"/>
      <c r="N122" s="185"/>
    </row>
    <row r="123" spans="1:14">
      <c r="A123" s="2547"/>
      <c r="B123" s="2550"/>
      <c r="C123" s="479">
        <v>2017</v>
      </c>
      <c r="D123" s="91"/>
      <c r="E123" s="1604"/>
      <c r="F123" s="1605"/>
      <c r="G123" s="1605"/>
      <c r="H123" s="1605"/>
      <c r="I123" s="1605"/>
      <c r="J123" s="1605"/>
      <c r="K123" s="1605"/>
      <c r="L123" s="551"/>
      <c r="M123" s="185"/>
      <c r="N123" s="185"/>
    </row>
    <row r="124" spans="1:14">
      <c r="A124" s="2547"/>
      <c r="B124" s="2550"/>
      <c r="C124" s="110">
        <v>2018</v>
      </c>
      <c r="D124" s="38"/>
      <c r="E124" s="177"/>
      <c r="F124" s="178"/>
      <c r="G124" s="178"/>
      <c r="H124" s="178"/>
      <c r="I124" s="178"/>
      <c r="J124" s="178"/>
      <c r="K124" s="178"/>
      <c r="L124" s="179"/>
      <c r="M124" s="185"/>
      <c r="N124" s="185"/>
    </row>
    <row r="125" spans="1:14">
      <c r="A125" s="2547"/>
      <c r="B125" s="2550"/>
      <c r="C125" s="110">
        <v>2019</v>
      </c>
      <c r="D125" s="38"/>
      <c r="E125" s="177"/>
      <c r="F125" s="178"/>
      <c r="G125" s="178"/>
      <c r="H125" s="178"/>
      <c r="I125" s="178"/>
      <c r="J125" s="178"/>
      <c r="K125" s="178"/>
      <c r="L125" s="179"/>
      <c r="M125" s="185"/>
      <c r="N125" s="185"/>
    </row>
    <row r="126" spans="1:14">
      <c r="A126" s="2547"/>
      <c r="B126" s="2550"/>
      <c r="C126" s="110">
        <v>2020</v>
      </c>
      <c r="D126" s="38"/>
      <c r="E126" s="177"/>
      <c r="F126" s="178"/>
      <c r="G126" s="178"/>
      <c r="H126" s="178"/>
      <c r="I126" s="178"/>
      <c r="J126" s="178"/>
      <c r="K126" s="178"/>
      <c r="L126" s="179"/>
      <c r="M126" s="185"/>
      <c r="N126" s="185"/>
    </row>
    <row r="127" spans="1:14" ht="15.75" thickBot="1">
      <c r="A127" s="2548"/>
      <c r="B127" s="2551"/>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405" t="s">
        <v>84</v>
      </c>
      <c r="B129" s="2407" t="s">
        <v>179</v>
      </c>
      <c r="C129" s="1550" t="s">
        <v>9</v>
      </c>
      <c r="D129" s="189" t="s">
        <v>85</v>
      </c>
      <c r="E129" s="1551"/>
      <c r="F129" s="1551"/>
      <c r="G129" s="191"/>
      <c r="H129" s="185"/>
      <c r="I129" s="185"/>
      <c r="J129" s="185"/>
      <c r="K129" s="185"/>
      <c r="L129" s="185"/>
      <c r="M129" s="185"/>
      <c r="N129" s="185"/>
    </row>
    <row r="130" spans="1:16" ht="77.25" customHeight="1">
      <c r="A130" s="1910"/>
      <c r="B130" s="1912"/>
      <c r="C130" s="1528"/>
      <c r="D130" s="166" t="s">
        <v>86</v>
      </c>
      <c r="E130" s="193" t="s">
        <v>87</v>
      </c>
      <c r="F130" s="167" t="s">
        <v>88</v>
      </c>
      <c r="G130" s="194" t="s">
        <v>13</v>
      </c>
      <c r="H130" s="185"/>
      <c r="I130" s="185"/>
      <c r="J130" s="185"/>
      <c r="K130" s="185"/>
      <c r="L130" s="185"/>
      <c r="M130" s="185"/>
      <c r="N130" s="185"/>
    </row>
    <row r="131" spans="1:16" ht="15" customHeight="1">
      <c r="A131" s="2552"/>
      <c r="B131" s="1973"/>
      <c r="C131" s="106">
        <v>2015</v>
      </c>
      <c r="D131" s="30"/>
      <c r="E131" s="31"/>
      <c r="F131" s="31"/>
      <c r="G131" s="195">
        <f t="shared" ref="G131:G136" si="11">SUM(D131:F131)</f>
        <v>0</v>
      </c>
      <c r="H131" s="185"/>
      <c r="I131" s="185"/>
      <c r="J131" s="185"/>
      <c r="K131" s="185"/>
      <c r="L131" s="185"/>
      <c r="M131" s="185"/>
      <c r="N131" s="185"/>
    </row>
    <row r="132" spans="1:16">
      <c r="A132" s="2553"/>
      <c r="B132" s="1974"/>
      <c r="C132" s="110">
        <v>2016</v>
      </c>
      <c r="D132" s="37"/>
      <c r="E132" s="38"/>
      <c r="F132" s="38"/>
      <c r="G132" s="195">
        <f t="shared" si="11"/>
        <v>0</v>
      </c>
      <c r="H132" s="185"/>
      <c r="I132" s="185"/>
      <c r="J132" s="185"/>
      <c r="K132" s="185"/>
      <c r="L132" s="185"/>
      <c r="M132" s="185"/>
      <c r="N132" s="185"/>
    </row>
    <row r="133" spans="1:16">
      <c r="A133" s="2553"/>
      <c r="B133" s="1974"/>
      <c r="C133" s="479">
        <v>2017</v>
      </c>
      <c r="D133" s="90"/>
      <c r="E133" s="91"/>
      <c r="F133" s="91"/>
      <c r="G133" s="1606">
        <f t="shared" si="11"/>
        <v>0</v>
      </c>
      <c r="H133" s="185"/>
      <c r="I133" s="185"/>
      <c r="J133" s="185"/>
      <c r="K133" s="185"/>
      <c r="L133" s="185"/>
      <c r="M133" s="185"/>
      <c r="N133" s="185"/>
    </row>
    <row r="134" spans="1:16">
      <c r="A134" s="2553"/>
      <c r="B134" s="1974"/>
      <c r="C134" s="110">
        <v>2018</v>
      </c>
      <c r="D134" s="37"/>
      <c r="E134" s="38"/>
      <c r="F134" s="38"/>
      <c r="G134" s="195">
        <f t="shared" si="11"/>
        <v>0</v>
      </c>
      <c r="H134" s="185"/>
      <c r="I134" s="185"/>
      <c r="J134" s="185"/>
      <c r="K134" s="185"/>
      <c r="L134" s="185"/>
      <c r="M134" s="185"/>
      <c r="N134" s="185"/>
    </row>
    <row r="135" spans="1:16">
      <c r="A135" s="2553"/>
      <c r="B135" s="1974"/>
      <c r="C135" s="110">
        <v>2019</v>
      </c>
      <c r="D135" s="37"/>
      <c r="E135" s="38"/>
      <c r="F135" s="38"/>
      <c r="G135" s="195">
        <f t="shared" si="11"/>
        <v>0</v>
      </c>
      <c r="H135" s="185"/>
      <c r="I135" s="185"/>
      <c r="J135" s="185"/>
      <c r="K135" s="185"/>
      <c r="L135" s="185"/>
      <c r="M135" s="185"/>
      <c r="N135" s="185"/>
    </row>
    <row r="136" spans="1:16">
      <c r="A136" s="2553"/>
      <c r="B136" s="1974"/>
      <c r="C136" s="110">
        <v>2020</v>
      </c>
      <c r="D136" s="37"/>
      <c r="E136" s="38"/>
      <c r="F136" s="38"/>
      <c r="G136" s="195">
        <f t="shared" si="11"/>
        <v>0</v>
      </c>
      <c r="H136" s="185"/>
      <c r="I136" s="185"/>
      <c r="J136" s="185"/>
      <c r="K136" s="185"/>
      <c r="L136" s="185"/>
      <c r="M136" s="185"/>
      <c r="N136" s="185"/>
    </row>
    <row r="137" spans="1:16" ht="17.25" customHeight="1" thickBot="1">
      <c r="A137" s="2554"/>
      <c r="B137" s="1975"/>
      <c r="C137" s="113" t="s">
        <v>13</v>
      </c>
      <c r="D137" s="139">
        <f>SUM(D131:D136)</f>
        <v>0</v>
      </c>
      <c r="E137" s="139">
        <f t="shared" ref="E137:F137" si="12">SUM(E131:E136)</f>
        <v>0</v>
      </c>
      <c r="F137" s="139">
        <f t="shared" si="12"/>
        <v>0</v>
      </c>
      <c r="G137" s="196">
        <f>SUM(G131:G136)</f>
        <v>0</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409" t="s">
        <v>91</v>
      </c>
      <c r="B142" s="2402" t="s">
        <v>179</v>
      </c>
      <c r="C142" s="2404" t="s">
        <v>9</v>
      </c>
      <c r="D142" s="1555" t="s">
        <v>92</v>
      </c>
      <c r="E142" s="1556"/>
      <c r="F142" s="1556"/>
      <c r="G142" s="1556"/>
      <c r="H142" s="1556"/>
      <c r="I142" s="1557"/>
      <c r="J142" s="2396" t="s">
        <v>93</v>
      </c>
      <c r="K142" s="2397"/>
      <c r="L142" s="2397"/>
      <c r="M142" s="2397"/>
      <c r="N142" s="2398"/>
      <c r="O142" s="165"/>
      <c r="P142" s="165"/>
    </row>
    <row r="143" spans="1:16" ht="147.7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2546"/>
      <c r="B144" s="2549"/>
      <c r="C144" s="106">
        <v>2014</v>
      </c>
      <c r="D144" s="30"/>
      <c r="E144" s="30"/>
      <c r="F144" s="31"/>
      <c r="G144" s="175"/>
      <c r="H144" s="175"/>
      <c r="I144" s="213">
        <f>D144+F144+G144+H144</f>
        <v>0</v>
      </c>
      <c r="J144" s="214"/>
      <c r="K144" s="215"/>
      <c r="L144" s="214"/>
      <c r="M144" s="215"/>
      <c r="N144" s="216"/>
      <c r="O144" s="165"/>
      <c r="P144" s="165"/>
    </row>
    <row r="145" spans="1:16" ht="19.5" customHeight="1">
      <c r="A145" s="2547"/>
      <c r="B145" s="2550"/>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2547"/>
      <c r="B146" s="2550"/>
      <c r="C146" s="110">
        <v>2016</v>
      </c>
      <c r="D146" s="37"/>
      <c r="E146" s="37"/>
      <c r="F146" s="38"/>
      <c r="G146" s="178"/>
      <c r="H146" s="178"/>
      <c r="I146" s="213">
        <f t="shared" si="13"/>
        <v>0</v>
      </c>
      <c r="J146" s="217"/>
      <c r="K146" s="218"/>
      <c r="L146" s="217"/>
      <c r="M146" s="218"/>
      <c r="N146" s="219"/>
      <c r="O146" s="165"/>
      <c r="P146" s="165"/>
    </row>
    <row r="147" spans="1:16" ht="17.25" customHeight="1">
      <c r="A147" s="2547"/>
      <c r="B147" s="2550"/>
      <c r="C147" s="479">
        <v>2017</v>
      </c>
      <c r="D147" s="90"/>
      <c r="E147" s="90"/>
      <c r="F147" s="91"/>
      <c r="G147" s="1605"/>
      <c r="H147" s="1605"/>
      <c r="I147" s="1607">
        <f t="shared" si="13"/>
        <v>0</v>
      </c>
      <c r="J147" s="1608"/>
      <c r="K147" s="1607"/>
      <c r="L147" s="1608"/>
      <c r="M147" s="1607"/>
      <c r="N147" s="412"/>
      <c r="O147" s="165"/>
      <c r="P147" s="165"/>
    </row>
    <row r="148" spans="1:16" ht="19.5" customHeight="1">
      <c r="A148" s="2547"/>
      <c r="B148" s="2550"/>
      <c r="C148" s="110">
        <v>2018</v>
      </c>
      <c r="D148" s="37"/>
      <c r="E148" s="37"/>
      <c r="F148" s="38"/>
      <c r="G148" s="178"/>
      <c r="H148" s="178"/>
      <c r="I148" s="213">
        <f t="shared" si="13"/>
        <v>0</v>
      </c>
      <c r="J148" s="217"/>
      <c r="K148" s="218"/>
      <c r="L148" s="217"/>
      <c r="M148" s="218"/>
      <c r="N148" s="219"/>
      <c r="O148" s="165"/>
      <c r="P148" s="165"/>
    </row>
    <row r="149" spans="1:16" ht="19.5" customHeight="1">
      <c r="A149" s="2547"/>
      <c r="B149" s="2550"/>
      <c r="C149" s="110">
        <v>2019</v>
      </c>
      <c r="D149" s="37"/>
      <c r="E149" s="37"/>
      <c r="F149" s="38"/>
      <c r="G149" s="178"/>
      <c r="H149" s="178"/>
      <c r="I149" s="213">
        <f t="shared" si="13"/>
        <v>0</v>
      </c>
      <c r="J149" s="217"/>
      <c r="K149" s="218"/>
      <c r="L149" s="217"/>
      <c r="M149" s="218"/>
      <c r="N149" s="219"/>
      <c r="O149" s="165"/>
      <c r="P149" s="165"/>
    </row>
    <row r="150" spans="1:16" ht="18.75" customHeight="1">
      <c r="A150" s="2547"/>
      <c r="B150" s="2550"/>
      <c r="C150" s="110">
        <v>2020</v>
      </c>
      <c r="D150" s="37"/>
      <c r="E150" s="37"/>
      <c r="F150" s="38"/>
      <c r="G150" s="178"/>
      <c r="H150" s="178"/>
      <c r="I150" s="213">
        <f t="shared" si="13"/>
        <v>0</v>
      </c>
      <c r="J150" s="217"/>
      <c r="K150" s="218"/>
      <c r="L150" s="217"/>
      <c r="M150" s="218"/>
      <c r="N150" s="219"/>
      <c r="O150" s="165"/>
      <c r="P150" s="165"/>
    </row>
    <row r="151" spans="1:16" ht="18" customHeight="1" thickBot="1">
      <c r="A151" s="2548"/>
      <c r="B151" s="2551"/>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2400" t="s">
        <v>105</v>
      </c>
      <c r="B153" s="2402" t="s">
        <v>179</v>
      </c>
      <c r="C153" s="2403" t="s">
        <v>9</v>
      </c>
      <c r="D153" s="1563" t="s">
        <v>106</v>
      </c>
      <c r="E153" s="1563"/>
      <c r="F153" s="1564"/>
      <c r="G153" s="1564"/>
      <c r="H153" s="1563" t="s">
        <v>107</v>
      </c>
      <c r="I153" s="1563"/>
      <c r="J153" s="1565"/>
      <c r="K153" s="56"/>
      <c r="L153" s="56"/>
      <c r="M153" s="56"/>
      <c r="N153" s="56"/>
      <c r="O153" s="165"/>
      <c r="P153" s="165"/>
    </row>
    <row r="154" spans="1:16" ht="49.5" customHeight="1">
      <c r="A154" s="2517"/>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2546"/>
      <c r="B155" s="2549"/>
      <c r="C155" s="233">
        <v>2014</v>
      </c>
      <c r="D155" s="214"/>
      <c r="E155" s="175"/>
      <c r="F155" s="215"/>
      <c r="G155" s="213">
        <f>SUM(D155:F155)</f>
        <v>0</v>
      </c>
      <c r="H155" s="214"/>
      <c r="I155" s="175"/>
      <c r="J155" s="176"/>
      <c r="O155" s="165"/>
      <c r="P155" s="165"/>
    </row>
    <row r="156" spans="1:16" ht="19.5" customHeight="1">
      <c r="A156" s="2547"/>
      <c r="B156" s="2550"/>
      <c r="C156" s="234">
        <v>2015</v>
      </c>
      <c r="D156" s="217"/>
      <c r="E156" s="178"/>
      <c r="F156" s="218"/>
      <c r="G156" s="213">
        <f t="shared" ref="G156:G161" si="15">SUM(D156:F156)</f>
        <v>0</v>
      </c>
      <c r="H156" s="217"/>
      <c r="I156" s="178"/>
      <c r="J156" s="179"/>
      <c r="O156" s="165"/>
      <c r="P156" s="165"/>
    </row>
    <row r="157" spans="1:16" ht="17.25" customHeight="1">
      <c r="A157" s="2547"/>
      <c r="B157" s="2550"/>
      <c r="C157" s="234">
        <v>2016</v>
      </c>
      <c r="D157" s="217"/>
      <c r="E157" s="178"/>
      <c r="F157" s="218"/>
      <c r="G157" s="213">
        <f t="shared" si="15"/>
        <v>0</v>
      </c>
      <c r="H157" s="217"/>
      <c r="I157" s="178"/>
      <c r="J157" s="179"/>
      <c r="O157" s="165"/>
      <c r="P157" s="165"/>
    </row>
    <row r="158" spans="1:16" ht="15" customHeight="1">
      <c r="A158" s="2547"/>
      <c r="B158" s="2550"/>
      <c r="C158" s="1609">
        <v>2017</v>
      </c>
      <c r="D158" s="1608"/>
      <c r="E158" s="1605"/>
      <c r="F158" s="1607"/>
      <c r="G158" s="1607">
        <f t="shared" si="15"/>
        <v>0</v>
      </c>
      <c r="H158" s="1608"/>
      <c r="I158" s="1605"/>
      <c r="J158" s="551"/>
      <c r="O158" s="165"/>
      <c r="P158" s="165"/>
    </row>
    <row r="159" spans="1:16" ht="19.5" customHeight="1">
      <c r="A159" s="2547"/>
      <c r="B159" s="2550"/>
      <c r="C159" s="234">
        <v>2018</v>
      </c>
      <c r="D159" s="217"/>
      <c r="E159" s="178"/>
      <c r="F159" s="218"/>
      <c r="G159" s="213">
        <f t="shared" si="15"/>
        <v>0</v>
      </c>
      <c r="H159" s="217"/>
      <c r="I159" s="178"/>
      <c r="J159" s="179"/>
      <c r="O159" s="165"/>
      <c r="P159" s="165"/>
    </row>
    <row r="160" spans="1:16" ht="15" customHeight="1">
      <c r="A160" s="2547"/>
      <c r="B160" s="2550"/>
      <c r="C160" s="234">
        <v>2019</v>
      </c>
      <c r="D160" s="217"/>
      <c r="E160" s="178"/>
      <c r="F160" s="218"/>
      <c r="G160" s="213">
        <f t="shared" si="15"/>
        <v>0</v>
      </c>
      <c r="H160" s="217"/>
      <c r="I160" s="178"/>
      <c r="J160" s="179"/>
      <c r="O160" s="165"/>
      <c r="P160" s="165"/>
    </row>
    <row r="161" spans="1:18" ht="17.25" customHeight="1">
      <c r="A161" s="2547"/>
      <c r="B161" s="2550"/>
      <c r="C161" s="234">
        <v>2020</v>
      </c>
      <c r="D161" s="217"/>
      <c r="E161" s="178"/>
      <c r="F161" s="218"/>
      <c r="G161" s="213">
        <f t="shared" si="15"/>
        <v>0</v>
      </c>
      <c r="H161" s="217"/>
      <c r="I161" s="178"/>
      <c r="J161" s="179"/>
      <c r="O161" s="165"/>
      <c r="P161" s="165"/>
    </row>
    <row r="162" spans="1:18" ht="15.75" thickBot="1">
      <c r="A162" s="2548"/>
      <c r="B162" s="2551"/>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1566"/>
      <c r="F163" s="165"/>
      <c r="G163" s="165"/>
      <c r="H163" s="165"/>
      <c r="I163" s="165"/>
      <c r="J163" s="241"/>
      <c r="K163" s="242"/>
    </row>
    <row r="164" spans="1:18" ht="95.25" customHeight="1">
      <c r="A164" s="243" t="s">
        <v>115</v>
      </c>
      <c r="B164" s="405" t="s">
        <v>181</v>
      </c>
      <c r="C164" s="1567" t="s">
        <v>9</v>
      </c>
      <c r="D164" s="246" t="s">
        <v>117</v>
      </c>
      <c r="E164" s="246" t="s">
        <v>118</v>
      </c>
      <c r="F164" s="1568" t="s">
        <v>119</v>
      </c>
      <c r="G164" s="246" t="s">
        <v>120</v>
      </c>
      <c r="H164" s="246" t="s">
        <v>121</v>
      </c>
      <c r="I164" s="248" t="s">
        <v>122</v>
      </c>
      <c r="J164" s="249" t="s">
        <v>123</v>
      </c>
      <c r="K164" s="249" t="s">
        <v>124</v>
      </c>
      <c r="L164" s="1569"/>
    </row>
    <row r="165" spans="1:18" ht="15.75" customHeight="1">
      <c r="A165" s="2540"/>
      <c r="B165" s="2543"/>
      <c r="C165" s="251">
        <v>2014</v>
      </c>
      <c r="D165" s="175"/>
      <c r="E165" s="175"/>
      <c r="F165" s="175"/>
      <c r="G165" s="175"/>
      <c r="H165" s="175"/>
      <c r="I165" s="176"/>
      <c r="J165" s="252">
        <f>SUM(D165,F165,H165)</f>
        <v>0</v>
      </c>
      <c r="K165" s="253">
        <f>SUM(E165,G165,I165)</f>
        <v>0</v>
      </c>
      <c r="L165" s="1569"/>
    </row>
    <row r="166" spans="1:18">
      <c r="A166" s="2541"/>
      <c r="B166" s="2544"/>
      <c r="C166" s="254">
        <v>2015</v>
      </c>
      <c r="D166" s="255"/>
      <c r="E166" s="255"/>
      <c r="F166" s="255"/>
      <c r="G166" s="255"/>
      <c r="H166" s="255"/>
      <c r="I166" s="256"/>
      <c r="J166" s="407">
        <f t="shared" ref="J166:K171" si="17">SUM(D166,F166,H166)</f>
        <v>0</v>
      </c>
      <c r="K166" s="408">
        <f t="shared" si="17"/>
        <v>0</v>
      </c>
      <c r="L166" s="1569"/>
    </row>
    <row r="167" spans="1:18">
      <c r="A167" s="2541"/>
      <c r="B167" s="2544"/>
      <c r="C167" s="254">
        <v>2016</v>
      </c>
      <c r="D167" s="255"/>
      <c r="E167" s="255"/>
      <c r="F167" s="255"/>
      <c r="G167" s="255"/>
      <c r="H167" s="255"/>
      <c r="I167" s="256"/>
      <c r="J167" s="407">
        <f t="shared" si="17"/>
        <v>0</v>
      </c>
      <c r="K167" s="408">
        <f t="shared" si="17"/>
        <v>0</v>
      </c>
    </row>
    <row r="168" spans="1:18">
      <c r="A168" s="2541"/>
      <c r="B168" s="2544"/>
      <c r="C168" s="1610">
        <v>2017</v>
      </c>
      <c r="D168" s="1605"/>
      <c r="E168" s="199"/>
      <c r="F168" s="1605"/>
      <c r="G168" s="1605"/>
      <c r="H168" s="1605"/>
      <c r="I168" s="551"/>
      <c r="J168" s="407">
        <f t="shared" si="17"/>
        <v>0</v>
      </c>
      <c r="K168" s="408">
        <f t="shared" si="17"/>
        <v>0</v>
      </c>
    </row>
    <row r="169" spans="1:18">
      <c r="A169" s="2541"/>
      <c r="B169" s="2544"/>
      <c r="C169" s="262">
        <v>2018</v>
      </c>
      <c r="D169" s="255"/>
      <c r="E169" s="255"/>
      <c r="F169" s="255"/>
      <c r="G169" s="263"/>
      <c r="H169" s="255"/>
      <c r="I169" s="256"/>
      <c r="J169" s="407">
        <f t="shared" si="17"/>
        <v>0</v>
      </c>
      <c r="K169" s="408">
        <f t="shared" si="17"/>
        <v>0</v>
      </c>
      <c r="L169" s="1569"/>
    </row>
    <row r="170" spans="1:18">
      <c r="A170" s="2541"/>
      <c r="B170" s="2544"/>
      <c r="C170" s="254">
        <v>2019</v>
      </c>
      <c r="D170" s="165"/>
      <c r="E170" s="255"/>
      <c r="F170" s="255"/>
      <c r="G170" s="255"/>
      <c r="H170" s="263"/>
      <c r="I170" s="256"/>
      <c r="J170" s="407">
        <f t="shared" si="17"/>
        <v>0</v>
      </c>
      <c r="K170" s="408">
        <f t="shared" si="17"/>
        <v>0</v>
      </c>
      <c r="L170" s="1569"/>
    </row>
    <row r="171" spans="1:18">
      <c r="A171" s="2541"/>
      <c r="B171" s="2544"/>
      <c r="C171" s="262">
        <v>2020</v>
      </c>
      <c r="D171" s="255"/>
      <c r="E171" s="255"/>
      <c r="F171" s="255"/>
      <c r="G171" s="255"/>
      <c r="H171" s="255"/>
      <c r="I171" s="256"/>
      <c r="J171" s="407">
        <f t="shared" si="17"/>
        <v>0</v>
      </c>
      <c r="K171" s="408">
        <f t="shared" si="17"/>
        <v>0</v>
      </c>
      <c r="L171" s="1569"/>
    </row>
    <row r="172" spans="1:18" ht="41.25" customHeight="1" thickBot="1">
      <c r="A172" s="2542"/>
      <c r="B172" s="2545"/>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1569"/>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389" t="s">
        <v>127</v>
      </c>
      <c r="B176" s="2380" t="s">
        <v>182</v>
      </c>
      <c r="C176" s="2391" t="s">
        <v>9</v>
      </c>
      <c r="D176" s="273" t="s">
        <v>128</v>
      </c>
      <c r="E176" s="1572"/>
      <c r="F176" s="1572"/>
      <c r="G176" s="1573"/>
      <c r="H176" s="276"/>
      <c r="I176" s="1888" t="s">
        <v>129</v>
      </c>
      <c r="J176" s="2393"/>
      <c r="K176" s="2393"/>
      <c r="L176" s="2393"/>
      <c r="M176" s="2393"/>
      <c r="N176" s="2393"/>
      <c r="O176" s="2394"/>
    </row>
    <row r="177" spans="1:15" s="56" customFormat="1" ht="129.7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2537"/>
      <c r="B178" s="2536" t="s">
        <v>432</v>
      </c>
      <c r="C178" s="106">
        <v>2014</v>
      </c>
      <c r="D178" s="30"/>
      <c r="E178" s="31"/>
      <c r="F178" s="31"/>
      <c r="G178" s="284">
        <f>SUM(D178:F178)</f>
        <v>0</v>
      </c>
      <c r="H178" s="155"/>
      <c r="I178" s="155"/>
      <c r="J178" s="31"/>
      <c r="K178" s="31"/>
      <c r="L178" s="31"/>
      <c r="M178" s="31"/>
      <c r="N178" s="31"/>
      <c r="O178" s="34"/>
    </row>
    <row r="179" spans="1:15">
      <c r="A179" s="2538"/>
      <c r="B179" s="2079"/>
      <c r="C179" s="110">
        <v>2015</v>
      </c>
      <c r="D179" s="37"/>
      <c r="E179" s="38"/>
      <c r="F179" s="38">
        <v>2</v>
      </c>
      <c r="G179" s="284">
        <f t="shared" ref="G179:G184" si="19">SUM(D179:F179)</f>
        <v>2</v>
      </c>
      <c r="H179" s="411">
        <v>2</v>
      </c>
      <c r="I179" s="112">
        <v>2</v>
      </c>
      <c r="J179" s="38"/>
      <c r="K179" s="38"/>
      <c r="L179" s="38"/>
      <c r="M179" s="38"/>
      <c r="N179" s="38"/>
      <c r="O179" s="88"/>
    </row>
    <row r="180" spans="1:15">
      <c r="A180" s="2538"/>
      <c r="B180" s="2079"/>
      <c r="C180" s="110">
        <v>2016</v>
      </c>
      <c r="D180" s="37">
        <v>1</v>
      </c>
      <c r="E180" s="38">
        <f>2+1</f>
        <v>3</v>
      </c>
      <c r="F180" s="91">
        <v>39</v>
      </c>
      <c r="G180" s="284">
        <f t="shared" si="19"/>
        <v>43</v>
      </c>
      <c r="H180" s="411">
        <f>6+2+39+4</f>
        <v>51</v>
      </c>
      <c r="I180" s="112">
        <f>2+1+39+1</f>
        <v>43</v>
      </c>
      <c r="J180" s="38"/>
      <c r="K180" s="38"/>
      <c r="L180" s="38"/>
      <c r="M180" s="38"/>
      <c r="N180" s="38"/>
      <c r="O180" s="88"/>
    </row>
    <row r="181" spans="1:15">
      <c r="A181" s="2538"/>
      <c r="B181" s="2079"/>
      <c r="C181" s="479">
        <v>2017</v>
      </c>
      <c r="D181" s="90">
        <f>1+1+1+1+1+1</f>
        <v>6</v>
      </c>
      <c r="E181" s="91">
        <f>1+1</f>
        <v>2</v>
      </c>
      <c r="F181" s="91">
        <f>(1+1+1+1+1+1+1+1+1+1+1+1+1+1+2+1+3+2+1+1+1+1+4+2+2)+1+1+1+1+1+1+1+1+1+1+1+1+1+1+1+1+1+1+1+1+1+1+1+2+1+1+1+2+1+1</f>
        <v>66</v>
      </c>
      <c r="G181" s="284">
        <f t="shared" si="19"/>
        <v>74</v>
      </c>
      <c r="H181" s="411">
        <f>(1+1+1+1+1+1+1+1+1+1+1+1+1+1+2+1+3+2+1+1+1+1+4+2+2)+2+3+2+2+2+2+2+2+2+1+1+1+1+1+1+1+1+1+1+1+1+1+1+1+1+1+1+1+1+1+1+2+1+1+1+2+1+1</f>
        <v>84</v>
      </c>
      <c r="I181" s="600">
        <f>(1+1+1+1+1+1+1+1+1+1+1+1+1+1+2+1+3+2+1+1+1+1+4+2+2)+1+1+1+1+1+1+1+1+1+1+1+1+1+1+1+1+1+1+1+1+1+1+1+1+1+1+1+1+1+1+1+2+1+1+1+2+1+1</f>
        <v>74</v>
      </c>
      <c r="J181" s="91"/>
      <c r="K181" s="91"/>
      <c r="L181" s="91"/>
      <c r="M181" s="91"/>
      <c r="N181" s="91"/>
      <c r="O181" s="603"/>
    </row>
    <row r="182" spans="1:15">
      <c r="A182" s="2538"/>
      <c r="B182" s="2079"/>
      <c r="C182" s="110">
        <v>2018</v>
      </c>
      <c r="D182" s="37"/>
      <c r="E182" s="38"/>
      <c r="F182" s="38"/>
      <c r="G182" s="284">
        <f t="shared" si="19"/>
        <v>0</v>
      </c>
      <c r="H182" s="411"/>
      <c r="I182" s="112"/>
      <c r="J182" s="38"/>
      <c r="K182" s="38"/>
      <c r="L182" s="38"/>
      <c r="M182" s="38"/>
      <c r="N182" s="38"/>
      <c r="O182" s="88"/>
    </row>
    <row r="183" spans="1:15">
      <c r="A183" s="2538"/>
      <c r="B183" s="2079"/>
      <c r="C183" s="110">
        <v>2019</v>
      </c>
      <c r="D183" s="37"/>
      <c r="E183" s="38"/>
      <c r="F183" s="38"/>
      <c r="G183" s="284">
        <f t="shared" si="19"/>
        <v>0</v>
      </c>
      <c r="H183" s="411"/>
      <c r="I183" s="112"/>
      <c r="J183" s="38"/>
      <c r="K183" s="38"/>
      <c r="L183" s="38"/>
      <c r="M183" s="38"/>
      <c r="N183" s="38"/>
      <c r="O183" s="88"/>
    </row>
    <row r="184" spans="1:15">
      <c r="A184" s="2538"/>
      <c r="B184" s="2079"/>
      <c r="C184" s="110">
        <v>2020</v>
      </c>
      <c r="D184" s="37"/>
      <c r="E184" s="38"/>
      <c r="F184" s="38"/>
      <c r="G184" s="284">
        <f t="shared" si="19"/>
        <v>0</v>
      </c>
      <c r="H184" s="411"/>
      <c r="I184" s="112"/>
      <c r="J184" s="38"/>
      <c r="K184" s="38"/>
      <c r="L184" s="38"/>
      <c r="M184" s="38"/>
      <c r="N184" s="38"/>
      <c r="O184" s="88"/>
    </row>
    <row r="185" spans="1:15" ht="278.25" customHeight="1" thickBot="1">
      <c r="A185" s="2539"/>
      <c r="B185" s="2080"/>
      <c r="C185" s="113" t="s">
        <v>13</v>
      </c>
      <c r="D185" s="139">
        <f>SUM(D178:D184)</f>
        <v>7</v>
      </c>
      <c r="E185" s="116">
        <f>SUM(E178:E184)</f>
        <v>5</v>
      </c>
      <c r="F185" s="116">
        <f>SUM(F178:F184)</f>
        <v>107</v>
      </c>
      <c r="G185" s="220">
        <f t="shared" ref="G185:O185" si="20">SUM(G178:G184)</f>
        <v>119</v>
      </c>
      <c r="H185" s="285">
        <f t="shared" si="20"/>
        <v>137</v>
      </c>
      <c r="I185" s="115">
        <f t="shared" si="20"/>
        <v>119</v>
      </c>
      <c r="J185" s="116">
        <f t="shared" si="20"/>
        <v>0</v>
      </c>
      <c r="K185" s="116">
        <f t="shared" si="20"/>
        <v>0</v>
      </c>
      <c r="L185" s="116">
        <f t="shared" si="20"/>
        <v>0</v>
      </c>
      <c r="M185" s="116">
        <f t="shared" si="20"/>
        <v>0</v>
      </c>
      <c r="N185" s="116">
        <f t="shared" si="20"/>
        <v>0</v>
      </c>
      <c r="O185" s="117">
        <f t="shared" si="20"/>
        <v>0</v>
      </c>
    </row>
    <row r="186" spans="1:15" ht="33" customHeight="1" thickBot="1"/>
    <row r="187" spans="1:15" ht="19.5" customHeight="1">
      <c r="A187" s="1861" t="s">
        <v>137</v>
      </c>
      <c r="B187" s="2380" t="s">
        <v>182</v>
      </c>
      <c r="C187" s="1865" t="s">
        <v>9</v>
      </c>
      <c r="D187" s="1867" t="s">
        <v>138</v>
      </c>
      <c r="E187" s="2381"/>
      <c r="F187" s="2381"/>
      <c r="G187" s="1869"/>
      <c r="H187" s="1870"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2533"/>
      <c r="B189" s="2536" t="s">
        <v>433</v>
      </c>
      <c r="C189" s="290">
        <v>2014</v>
      </c>
      <c r="D189" s="133"/>
      <c r="E189" s="109"/>
      <c r="F189" s="109"/>
      <c r="G189" s="291">
        <f>SUM(D189:F189)</f>
        <v>0</v>
      </c>
      <c r="H189" s="108"/>
      <c r="I189" s="109"/>
      <c r="J189" s="109"/>
      <c r="K189" s="109"/>
      <c r="L189" s="134"/>
    </row>
    <row r="190" spans="1:15">
      <c r="A190" s="2534"/>
      <c r="B190" s="2079"/>
      <c r="C190" s="73">
        <v>2015</v>
      </c>
      <c r="D190" s="37"/>
      <c r="E190" s="38"/>
      <c r="F190" s="38">
        <v>60</v>
      </c>
      <c r="G190" s="291">
        <f t="shared" ref="G190:G195" si="21">SUM(D190:F190)</f>
        <v>60</v>
      </c>
      <c r="H190" s="112">
        <v>4</v>
      </c>
      <c r="I190" s="38">
        <v>1</v>
      </c>
      <c r="J190" s="38">
        <v>15</v>
      </c>
      <c r="K190" s="38">
        <v>36</v>
      </c>
      <c r="L190" s="88">
        <v>4</v>
      </c>
    </row>
    <row r="191" spans="1:15">
      <c r="A191" s="2534"/>
      <c r="B191" s="2079"/>
      <c r="C191" s="73">
        <v>2016</v>
      </c>
      <c r="D191" s="37">
        <v>30</v>
      </c>
      <c r="E191" s="38">
        <f>70+35</f>
        <v>105</v>
      </c>
      <c r="F191" s="38">
        <v>457</v>
      </c>
      <c r="G191" s="291">
        <f t="shared" si="21"/>
        <v>592</v>
      </c>
      <c r="H191" s="112">
        <f>1+2+1</f>
        <v>4</v>
      </c>
      <c r="I191" s="38">
        <f>7</f>
        <v>7</v>
      </c>
      <c r="J191" s="38">
        <f>19+10+105+9</f>
        <v>143</v>
      </c>
      <c r="K191" s="38">
        <f>42+18+300+25</f>
        <v>385</v>
      </c>
      <c r="L191" s="88">
        <f>7+1+44+1</f>
        <v>53</v>
      </c>
    </row>
    <row r="192" spans="1:15">
      <c r="A192" s="2534"/>
      <c r="B192" s="2079"/>
      <c r="C192" s="1593">
        <v>2017</v>
      </c>
      <c r="D192" s="90">
        <f>30+30+25+78+95+71</f>
        <v>329</v>
      </c>
      <c r="E192" s="91">
        <f>30+30</f>
        <v>60</v>
      </c>
      <c r="F192" s="91">
        <f>(5+10+8+10+40+14+17+20+2+45+3+2+41+13+4+16+4+13+2+4+21+1+50+17+8+3+6+2+19+25+4+3+3+11)+40+40+40+40+20+4+16+40+11+14+24+11+14+4+20+4+71+3+7+1+1+1+20+2+96+12+3+5+1+22</f>
        <v>1033</v>
      </c>
      <c r="G192" s="291">
        <f t="shared" si="21"/>
        <v>1422</v>
      </c>
      <c r="H192" s="600">
        <f>3</f>
        <v>3</v>
      </c>
      <c r="I192" s="91">
        <f>7+2</f>
        <v>9</v>
      </c>
      <c r="J192" s="91">
        <f>(4+1+2+40+1+1+2+1+41+13+2+1+1+1+5+1+1+3+1)+4+3+15+5+10+5+7+1+60+61+2+1+10+41+96+8</f>
        <v>451</v>
      </c>
      <c r="K192" s="91">
        <f>(5+6+7+8+14+17+20+1+44+1+1+4+14+2+12+1+3+21+1+35+17+7+2+6+2+16+24+4+3+3+11)+40+24+40+37+15+25+30+25+18+19+18+4+16+34+38+11+13+24+11+4+4+20+4+27+71+3+7+1+1+1+20+2+4+3+22</f>
        <v>948</v>
      </c>
      <c r="L192" s="603">
        <f>2+3+3+2+1</f>
        <v>11</v>
      </c>
    </row>
    <row r="193" spans="1:14">
      <c r="A193" s="2534"/>
      <c r="B193" s="2079"/>
      <c r="C193" s="73">
        <v>2018</v>
      </c>
      <c r="D193" s="37"/>
      <c r="E193" s="38"/>
      <c r="F193" s="38"/>
      <c r="G193" s="291">
        <f t="shared" si="21"/>
        <v>0</v>
      </c>
      <c r="H193" s="112"/>
      <c r="I193" s="38"/>
      <c r="J193" s="38"/>
      <c r="K193" s="38"/>
      <c r="L193" s="88"/>
    </row>
    <row r="194" spans="1:14">
      <c r="A194" s="2534"/>
      <c r="B194" s="2079"/>
      <c r="C194" s="73">
        <v>2019</v>
      </c>
      <c r="D194" s="37"/>
      <c r="E194" s="38"/>
      <c r="F194" s="38"/>
      <c r="G194" s="291">
        <f t="shared" si="21"/>
        <v>0</v>
      </c>
      <c r="H194" s="112"/>
      <c r="I194" s="38"/>
      <c r="J194" s="38"/>
      <c r="K194" s="38"/>
      <c r="L194" s="88"/>
    </row>
    <row r="195" spans="1:14">
      <c r="A195" s="2534"/>
      <c r="B195" s="2079"/>
      <c r="C195" s="73">
        <v>2020</v>
      </c>
      <c r="D195" s="37"/>
      <c r="E195" s="38"/>
      <c r="F195" s="38"/>
      <c r="G195" s="291">
        <f t="shared" si="21"/>
        <v>0</v>
      </c>
      <c r="H195" s="112"/>
      <c r="I195" s="38"/>
      <c r="J195" s="38"/>
      <c r="K195" s="38"/>
      <c r="L195" s="88"/>
    </row>
    <row r="196" spans="1:14" ht="409.5" customHeight="1" thickBot="1">
      <c r="A196" s="2535"/>
      <c r="B196" s="2080"/>
      <c r="C196" s="136" t="s">
        <v>13</v>
      </c>
      <c r="D196" s="139">
        <f t="shared" ref="D196:L196" si="22">SUM(D189:D195)</f>
        <v>359</v>
      </c>
      <c r="E196" s="116">
        <f t="shared" si="22"/>
        <v>165</v>
      </c>
      <c r="F196" s="116">
        <f t="shared" si="22"/>
        <v>1550</v>
      </c>
      <c r="G196" s="292">
        <f t="shared" si="22"/>
        <v>2074</v>
      </c>
      <c r="H196" s="115">
        <f t="shared" si="22"/>
        <v>11</v>
      </c>
      <c r="I196" s="116">
        <f t="shared" si="22"/>
        <v>17</v>
      </c>
      <c r="J196" s="116">
        <f t="shared" si="22"/>
        <v>609</v>
      </c>
      <c r="K196" s="116">
        <f t="shared" si="22"/>
        <v>1369</v>
      </c>
      <c r="L196" s="117">
        <f t="shared" si="22"/>
        <v>68</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1574" t="s">
        <v>150</v>
      </c>
      <c r="B201" s="1611" t="s">
        <v>182</v>
      </c>
      <c r="C201" s="298" t="s">
        <v>9</v>
      </c>
      <c r="D201" s="299" t="s">
        <v>151</v>
      </c>
      <c r="E201" s="300" t="s">
        <v>152</v>
      </c>
      <c r="F201" s="300" t="s">
        <v>153</v>
      </c>
      <c r="G201" s="298" t="s">
        <v>154</v>
      </c>
      <c r="H201" s="1575" t="s">
        <v>155</v>
      </c>
      <c r="I201" s="302" t="s">
        <v>156</v>
      </c>
      <c r="J201" s="303" t="s">
        <v>157</v>
      </c>
      <c r="K201" s="300" t="s">
        <v>158</v>
      </c>
      <c r="L201" s="304" t="s">
        <v>159</v>
      </c>
    </row>
    <row r="202" spans="1:14" ht="15" customHeight="1">
      <c r="A202" s="2530"/>
      <c r="B202" s="1973"/>
      <c r="C202" s="72">
        <v>2014</v>
      </c>
      <c r="D202" s="30"/>
      <c r="E202" s="31"/>
      <c r="F202" s="31"/>
      <c r="G202" s="29"/>
      <c r="H202" s="305"/>
      <c r="I202" s="306"/>
      <c r="J202" s="307"/>
      <c r="K202" s="31"/>
      <c r="L202" s="34"/>
    </row>
    <row r="203" spans="1:14">
      <c r="A203" s="2531"/>
      <c r="B203" s="1974"/>
      <c r="C203" s="73">
        <v>2015</v>
      </c>
      <c r="D203" s="37"/>
      <c r="E203" s="38"/>
      <c r="F203" s="38"/>
      <c r="G203" s="36"/>
      <c r="H203" s="308"/>
      <c r="I203" s="309"/>
      <c r="J203" s="310"/>
      <c r="K203" s="38"/>
      <c r="L203" s="88"/>
    </row>
    <row r="204" spans="1:14">
      <c r="A204" s="2531"/>
      <c r="B204" s="1974"/>
      <c r="C204" s="73">
        <v>2016</v>
      </c>
      <c r="D204" s="37"/>
      <c r="E204" s="38"/>
      <c r="F204" s="38"/>
      <c r="G204" s="36"/>
      <c r="H204" s="308"/>
      <c r="I204" s="309"/>
      <c r="J204" s="310"/>
      <c r="K204" s="38"/>
      <c r="L204" s="88"/>
    </row>
    <row r="205" spans="1:14">
      <c r="A205" s="2531"/>
      <c r="B205" s="1974"/>
      <c r="C205" s="1593">
        <v>2017</v>
      </c>
      <c r="D205" s="90"/>
      <c r="E205" s="91"/>
      <c r="F205" s="91"/>
      <c r="G205" s="41"/>
      <c r="H205" s="1612"/>
      <c r="I205" s="1613"/>
      <c r="J205" s="1614"/>
      <c r="K205" s="91"/>
      <c r="L205" s="603"/>
    </row>
    <row r="206" spans="1:14">
      <c r="A206" s="2531"/>
      <c r="B206" s="1974"/>
      <c r="C206" s="73">
        <v>2018</v>
      </c>
      <c r="D206" s="37"/>
      <c r="E206" s="38"/>
      <c r="F206" s="38"/>
      <c r="G206" s="36"/>
      <c r="H206" s="308"/>
      <c r="I206" s="309"/>
      <c r="J206" s="310"/>
      <c r="K206" s="38"/>
      <c r="L206" s="88"/>
    </row>
    <row r="207" spans="1:14">
      <c r="A207" s="2531"/>
      <c r="B207" s="1974"/>
      <c r="C207" s="73">
        <v>2019</v>
      </c>
      <c r="D207" s="37"/>
      <c r="E207" s="38"/>
      <c r="F207" s="38"/>
      <c r="G207" s="36"/>
      <c r="H207" s="308"/>
      <c r="I207" s="309"/>
      <c r="J207" s="310"/>
      <c r="K207" s="38"/>
      <c r="L207" s="88"/>
    </row>
    <row r="208" spans="1:14">
      <c r="A208" s="2531"/>
      <c r="B208" s="1974"/>
      <c r="C208" s="73">
        <v>2020</v>
      </c>
      <c r="D208" s="1533"/>
      <c r="E208" s="312"/>
      <c r="F208" s="312"/>
      <c r="G208" s="313"/>
      <c r="H208" s="314"/>
      <c r="I208" s="315"/>
      <c r="J208" s="316"/>
      <c r="K208" s="312"/>
      <c r="L208" s="317"/>
    </row>
    <row r="209" spans="1:12" ht="20.25" customHeight="1" thickBot="1">
      <c r="A209" s="2532"/>
      <c r="B209" s="1975"/>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0</v>
      </c>
      <c r="K209" s="139">
        <f t="shared" si="23"/>
        <v>0</v>
      </c>
      <c r="L209" s="139">
        <f t="shared" si="23"/>
        <v>0</v>
      </c>
    </row>
    <row r="211" spans="1:12" ht="15.75" thickBot="1"/>
    <row r="212" spans="1:12" ht="29.25">
      <c r="A212" s="1576" t="s">
        <v>161</v>
      </c>
      <c r="B212" s="322" t="s">
        <v>162</v>
      </c>
      <c r="C212" s="323">
        <v>2014</v>
      </c>
      <c r="D212" s="324">
        <v>2015</v>
      </c>
      <c r="E212" s="324">
        <v>2016</v>
      </c>
      <c r="F212" s="324">
        <v>2017</v>
      </c>
      <c r="G212" s="324">
        <v>2018</v>
      </c>
      <c r="H212" s="324">
        <v>2019</v>
      </c>
      <c r="I212" s="325">
        <v>2020</v>
      </c>
    </row>
    <row r="213" spans="1:12" ht="15" customHeight="1">
      <c r="A213" t="s">
        <v>163</v>
      </c>
      <c r="B213" s="2078" t="s">
        <v>434</v>
      </c>
      <c r="C213" s="72"/>
      <c r="D213" s="328">
        <f>D214+D215+D216+D217</f>
        <v>7464.17</v>
      </c>
      <c r="E213" s="328">
        <f>E217+E214+E215+E216</f>
        <v>162008.51</v>
      </c>
      <c r="F213" s="606">
        <f>F214+F215+F216+F217</f>
        <v>131271.59</v>
      </c>
      <c r="G213" s="135"/>
      <c r="H213" s="135"/>
      <c r="I213" s="326"/>
    </row>
    <row r="214" spans="1:12">
      <c r="A214" t="s">
        <v>164</v>
      </c>
      <c r="B214" s="2079"/>
      <c r="C214" s="72"/>
      <c r="D214" s="328">
        <v>7464.17</v>
      </c>
      <c r="E214" s="328">
        <v>0</v>
      </c>
      <c r="F214" s="606">
        <v>0</v>
      </c>
      <c r="G214" s="135"/>
      <c r="H214" s="135"/>
      <c r="I214" s="326"/>
    </row>
    <row r="215" spans="1:12">
      <c r="A215" t="s">
        <v>165</v>
      </c>
      <c r="B215" s="2079"/>
      <c r="C215" s="72"/>
      <c r="D215" s="328">
        <v>0</v>
      </c>
      <c r="E215" s="328">
        <v>0</v>
      </c>
      <c r="F215" s="606">
        <v>0</v>
      </c>
      <c r="G215" s="135"/>
      <c r="H215" s="135"/>
      <c r="I215" s="326"/>
    </row>
    <row r="216" spans="1:12">
      <c r="A216" t="s">
        <v>166</v>
      </c>
      <c r="B216" s="2079"/>
      <c r="C216" s="72"/>
      <c r="D216" s="328">
        <v>0</v>
      </c>
      <c r="E216" s="328">
        <v>0</v>
      </c>
      <c r="F216" s="606">
        <v>9780</v>
      </c>
      <c r="G216" s="135"/>
      <c r="H216" s="135"/>
      <c r="I216" s="326"/>
    </row>
    <row r="217" spans="1:12">
      <c r="A217" t="s">
        <v>167</v>
      </c>
      <c r="B217" s="2079"/>
      <c r="C217" s="72"/>
      <c r="D217" s="328">
        <v>0</v>
      </c>
      <c r="E217" s="328">
        <f>3000+98.6+2583+615.6+149420+4450+1841.31</f>
        <v>162008.51</v>
      </c>
      <c r="F217" s="606">
        <v>121491.59</v>
      </c>
      <c r="G217" s="135"/>
      <c r="H217" s="135"/>
      <c r="I217" s="326"/>
    </row>
    <row r="218" spans="1:12" ht="409.5" customHeight="1">
      <c r="A218" s="1535" t="s">
        <v>168</v>
      </c>
      <c r="B218" s="2079"/>
      <c r="C218" s="72"/>
      <c r="D218" s="573">
        <v>97074.52</v>
      </c>
      <c r="E218" s="573">
        <f>60023.08+10030.78+1446.89+4967.77</f>
        <v>76468.52</v>
      </c>
      <c r="F218" s="1615">
        <v>155638.44</v>
      </c>
      <c r="G218" s="135"/>
      <c r="H218" s="135"/>
      <c r="I218" s="326"/>
    </row>
    <row r="219" spans="1:12" ht="409.5" customHeight="1" thickBot="1">
      <c r="A219" s="1532"/>
      <c r="B219" s="2080"/>
      <c r="C219" s="42" t="s">
        <v>13</v>
      </c>
      <c r="D219" s="332">
        <f>SUM(D214:D218)</f>
        <v>104538.69</v>
      </c>
      <c r="E219" s="332">
        <f t="shared" ref="E219:I219" si="24">SUM(E214:E218)</f>
        <v>238477.03000000003</v>
      </c>
      <c r="F219" s="1583">
        <f t="shared" si="24"/>
        <v>286910.03000000003</v>
      </c>
      <c r="G219" s="333">
        <f t="shared" si="24"/>
        <v>0</v>
      </c>
      <c r="H219" s="333">
        <f t="shared" si="24"/>
        <v>0</v>
      </c>
      <c r="I219" s="451">
        <f t="shared" si="24"/>
        <v>0</v>
      </c>
    </row>
    <row r="227" spans="1:1">
      <c r="A227" s="56"/>
    </row>
  </sheetData>
  <mergeCells count="74">
    <mergeCell ref="A50:A58"/>
    <mergeCell ref="B50:B58"/>
    <mergeCell ref="B1:F1"/>
    <mergeCell ref="F3:O3"/>
    <mergeCell ref="A4:O10"/>
    <mergeCell ref="D15:G15"/>
    <mergeCell ref="A17:A24"/>
    <mergeCell ref="B17:B24"/>
    <mergeCell ref="D26:G26"/>
    <mergeCell ref="A28:A35"/>
    <mergeCell ref="B28:B35"/>
    <mergeCell ref="A40:A47"/>
    <mergeCell ref="B40:B47"/>
    <mergeCell ref="A60:A61"/>
    <mergeCell ref="B60:B61"/>
    <mergeCell ref="C60:C61"/>
    <mergeCell ref="D60:D61"/>
    <mergeCell ref="A62:A69"/>
    <mergeCell ref="B62:B69"/>
    <mergeCell ref="A72:A79"/>
    <mergeCell ref="B72:B79"/>
    <mergeCell ref="A85:A92"/>
    <mergeCell ref="B85:B92"/>
    <mergeCell ref="A96:A97"/>
    <mergeCell ref="B96:B97"/>
    <mergeCell ref="D118:D119"/>
    <mergeCell ref="C96:C97"/>
    <mergeCell ref="D96:E96"/>
    <mergeCell ref="A98:A105"/>
    <mergeCell ref="B98:B105"/>
    <mergeCell ref="A107:A108"/>
    <mergeCell ref="B107:B108"/>
    <mergeCell ref="C107:C108"/>
    <mergeCell ref="D107:D108"/>
    <mergeCell ref="A109:A116"/>
    <mergeCell ref="B109:B116"/>
    <mergeCell ref="A118:A119"/>
    <mergeCell ref="B118:B119"/>
    <mergeCell ref="C118:C119"/>
    <mergeCell ref="J142:N142"/>
    <mergeCell ref="A144:A151"/>
    <mergeCell ref="B144:B151"/>
    <mergeCell ref="A120:A127"/>
    <mergeCell ref="B120:B127"/>
    <mergeCell ref="A129:A130"/>
    <mergeCell ref="B129:B130"/>
    <mergeCell ref="A131:A137"/>
    <mergeCell ref="B131:B137"/>
    <mergeCell ref="A165:A172"/>
    <mergeCell ref="B165:B172"/>
    <mergeCell ref="A142:A143"/>
    <mergeCell ref="B142:B143"/>
    <mergeCell ref="C142:C143"/>
    <mergeCell ref="A153:A154"/>
    <mergeCell ref="B153:B154"/>
    <mergeCell ref="C153:C154"/>
    <mergeCell ref="A155:A162"/>
    <mergeCell ref="B155:B162"/>
    <mergeCell ref="A176:A177"/>
    <mergeCell ref="B176:B177"/>
    <mergeCell ref="C176:C177"/>
    <mergeCell ref="I176:O176"/>
    <mergeCell ref="A178:A185"/>
    <mergeCell ref="B178:B185"/>
    <mergeCell ref="C187:C188"/>
    <mergeCell ref="D187:G187"/>
    <mergeCell ref="H187:L187"/>
    <mergeCell ref="A189:A196"/>
    <mergeCell ref="B189:B196"/>
    <mergeCell ref="A202:A209"/>
    <mergeCell ref="B202:B209"/>
    <mergeCell ref="B213:B219"/>
    <mergeCell ref="A187:A188"/>
    <mergeCell ref="B187:B188"/>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7"/>
  <sheetViews>
    <sheetView topLeftCell="A8" zoomScale="80" zoomScaleNormal="80" workbookViewId="0">
      <selection activeCell="F214" sqref="F214:F218"/>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435</v>
      </c>
      <c r="C1" s="1944"/>
      <c r="D1" s="1944"/>
      <c r="E1" s="1944"/>
      <c r="F1" s="1944"/>
    </row>
    <row r="2" spans="1:25" s="1" customFormat="1" ht="20.100000000000001" customHeight="1" thickBot="1"/>
    <row r="3" spans="1:25" s="4" customFormat="1" ht="20.100000000000001" customHeight="1">
      <c r="A3" s="1584" t="s">
        <v>2</v>
      </c>
      <c r="B3" s="1585"/>
      <c r="C3" s="1585"/>
      <c r="D3" s="1585"/>
      <c r="E3" s="1585"/>
      <c r="F3" s="2418"/>
      <c r="G3" s="2418"/>
      <c r="H3" s="2418"/>
      <c r="I3" s="2418"/>
      <c r="J3" s="2418"/>
      <c r="K3" s="2418"/>
      <c r="L3" s="2418"/>
      <c r="M3" s="2418"/>
      <c r="N3" s="2418"/>
      <c r="O3" s="2419"/>
    </row>
    <row r="4" spans="1:25" s="4" customFormat="1" ht="20.100000000000001" customHeight="1">
      <c r="A4" s="2420" t="s">
        <v>170</v>
      </c>
      <c r="B4" s="1948"/>
      <c r="C4" s="1948"/>
      <c r="D4" s="1948"/>
      <c r="E4" s="1948"/>
      <c r="F4" s="1948"/>
      <c r="G4" s="1948"/>
      <c r="H4" s="1948"/>
      <c r="I4" s="1948"/>
      <c r="J4" s="1948"/>
      <c r="K4" s="1948"/>
      <c r="L4" s="1948"/>
      <c r="M4" s="1948"/>
      <c r="N4" s="1948"/>
      <c r="O4" s="1949"/>
    </row>
    <row r="5" spans="1:25" s="4" customFormat="1" ht="20.100000000000001" customHeight="1">
      <c r="A5" s="2420"/>
      <c r="B5" s="1948"/>
      <c r="C5" s="1948"/>
      <c r="D5" s="1948"/>
      <c r="E5" s="1948"/>
      <c r="F5" s="1948"/>
      <c r="G5" s="1948"/>
      <c r="H5" s="1948"/>
      <c r="I5" s="1948"/>
      <c r="J5" s="1948"/>
      <c r="K5" s="1948"/>
      <c r="L5" s="1948"/>
      <c r="M5" s="1948"/>
      <c r="N5" s="1948"/>
      <c r="O5" s="1949"/>
    </row>
    <row r="6" spans="1:25" s="4" customFormat="1" ht="20.100000000000001" customHeight="1">
      <c r="A6" s="2420"/>
      <c r="B6" s="1948"/>
      <c r="C6" s="1948"/>
      <c r="D6" s="1948"/>
      <c r="E6" s="1948"/>
      <c r="F6" s="1948"/>
      <c r="G6" s="1948"/>
      <c r="H6" s="1948"/>
      <c r="I6" s="1948"/>
      <c r="J6" s="1948"/>
      <c r="K6" s="1948"/>
      <c r="L6" s="1948"/>
      <c r="M6" s="1948"/>
      <c r="N6" s="1948"/>
      <c r="O6" s="1949"/>
    </row>
    <row r="7" spans="1:25" s="4" customFormat="1" ht="20.100000000000001" customHeight="1">
      <c r="A7" s="2420"/>
      <c r="B7" s="1948"/>
      <c r="C7" s="1948"/>
      <c r="D7" s="1948"/>
      <c r="E7" s="1948"/>
      <c r="F7" s="1948"/>
      <c r="G7" s="1948"/>
      <c r="H7" s="1948"/>
      <c r="I7" s="1948"/>
      <c r="J7" s="1948"/>
      <c r="K7" s="1948"/>
      <c r="L7" s="1948"/>
      <c r="M7" s="1948"/>
      <c r="N7" s="1948"/>
      <c r="O7" s="1949"/>
    </row>
    <row r="8" spans="1:25" s="4" customFormat="1" ht="20.100000000000001" customHeight="1">
      <c r="A8" s="2420"/>
      <c r="B8" s="1948"/>
      <c r="C8" s="1948"/>
      <c r="D8" s="1948"/>
      <c r="E8" s="1948"/>
      <c r="F8" s="1948"/>
      <c r="G8" s="1948"/>
      <c r="H8" s="1948"/>
      <c r="I8" s="1948"/>
      <c r="J8" s="1948"/>
      <c r="K8" s="1948"/>
      <c r="L8" s="1948"/>
      <c r="M8" s="1948"/>
      <c r="N8" s="1948"/>
      <c r="O8" s="1949"/>
    </row>
    <row r="9" spans="1:25" s="4" customFormat="1" ht="20.100000000000001" customHeight="1">
      <c r="A9" s="2420"/>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1586"/>
      <c r="B15" s="1587"/>
      <c r="C15" s="10"/>
      <c r="D15" s="1953" t="s">
        <v>5</v>
      </c>
      <c r="E15" s="2422"/>
      <c r="F15" s="2422"/>
      <c r="G15" s="2422"/>
      <c r="H15" s="11"/>
      <c r="I15" s="12" t="s">
        <v>6</v>
      </c>
      <c r="J15" s="13"/>
      <c r="K15" s="13"/>
      <c r="L15" s="13"/>
      <c r="M15" s="13"/>
      <c r="N15" s="13"/>
      <c r="O15" s="14"/>
      <c r="P15" s="15"/>
      <c r="Q15" s="16"/>
      <c r="R15" s="17"/>
      <c r="S15" s="17"/>
      <c r="T15" s="17"/>
      <c r="U15" s="17"/>
      <c r="V15" s="17"/>
      <c r="W15" s="15"/>
      <c r="X15" s="15"/>
      <c r="Y15" s="16"/>
    </row>
    <row r="16" spans="1:25" s="56" customFormat="1" ht="129" customHeight="1">
      <c r="A16" s="1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1874" t="s">
        <v>436</v>
      </c>
      <c r="B17" s="1855"/>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1854"/>
      <c r="B18" s="1855"/>
      <c r="C18" s="36">
        <v>2015</v>
      </c>
      <c r="D18" s="37">
        <v>6</v>
      </c>
      <c r="E18" s="38"/>
      <c r="F18" s="38"/>
      <c r="G18" s="32">
        <f>SUM(D18:F18)</f>
        <v>6</v>
      </c>
      <c r="H18" s="39">
        <v>6</v>
      </c>
      <c r="I18" s="38"/>
      <c r="J18" s="38"/>
      <c r="K18" s="38"/>
      <c r="L18" s="38"/>
      <c r="M18" s="38"/>
      <c r="N18" s="38"/>
      <c r="O18" s="40"/>
      <c r="P18" s="35"/>
      <c r="Q18" s="35"/>
      <c r="R18" s="35"/>
      <c r="S18" s="35"/>
      <c r="T18" s="35"/>
      <c r="U18" s="35"/>
      <c r="V18" s="35"/>
      <c r="W18" s="35"/>
      <c r="X18" s="35"/>
      <c r="Y18" s="35"/>
    </row>
    <row r="19" spans="1:25">
      <c r="A19" s="1854"/>
      <c r="B19" s="1855"/>
      <c r="C19" s="36">
        <v>2016</v>
      </c>
      <c r="D19" s="37">
        <v>20</v>
      </c>
      <c r="E19" s="38">
        <v>4</v>
      </c>
      <c r="F19" s="38">
        <v>3</v>
      </c>
      <c r="G19" s="32">
        <f t="shared" si="0"/>
        <v>27</v>
      </c>
      <c r="H19" s="39">
        <v>26</v>
      </c>
      <c r="I19" s="38">
        <v>1</v>
      </c>
      <c r="J19" s="38"/>
      <c r="K19" s="38"/>
      <c r="L19" s="38"/>
      <c r="M19" s="38"/>
      <c r="N19" s="38"/>
      <c r="O19" s="40"/>
      <c r="P19" s="35"/>
      <c r="Q19" s="35"/>
      <c r="R19" s="35"/>
      <c r="S19" s="35"/>
      <c r="T19" s="35"/>
      <c r="U19" s="35"/>
      <c r="V19" s="35"/>
      <c r="W19" s="35"/>
      <c r="X19" s="35"/>
      <c r="Y19" s="35"/>
    </row>
    <row r="20" spans="1:25">
      <c r="A20" s="1854"/>
      <c r="B20" s="1855"/>
      <c r="C20" s="36">
        <v>2017</v>
      </c>
      <c r="D20" s="37">
        <v>14</v>
      </c>
      <c r="E20" s="38">
        <v>3</v>
      </c>
      <c r="F20" s="38">
        <v>2</v>
      </c>
      <c r="G20" s="32">
        <f t="shared" si="0"/>
        <v>19</v>
      </c>
      <c r="H20" s="39">
        <v>18</v>
      </c>
      <c r="I20" s="38">
        <v>1</v>
      </c>
      <c r="J20" s="38"/>
      <c r="K20" s="38"/>
      <c r="L20" s="38"/>
      <c r="M20" s="38"/>
      <c r="N20" s="38"/>
      <c r="O20" s="40"/>
      <c r="P20" s="35"/>
      <c r="Q20" s="35"/>
      <c r="R20" s="35"/>
      <c r="S20" s="35"/>
      <c r="T20" s="35"/>
      <c r="U20" s="35"/>
      <c r="V20" s="35"/>
      <c r="W20" s="35"/>
      <c r="X20" s="35"/>
      <c r="Y20" s="35"/>
    </row>
    <row r="21" spans="1:25">
      <c r="A21" s="1854"/>
      <c r="B21" s="1855"/>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1854"/>
      <c r="B22" s="1855"/>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1854"/>
      <c r="B23" s="1855"/>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282" customHeight="1" thickBot="1">
      <c r="A24" s="1856"/>
      <c r="B24" s="1857"/>
      <c r="C24" s="42" t="s">
        <v>13</v>
      </c>
      <c r="D24" s="43">
        <f>SUM(D17:D23)</f>
        <v>40</v>
      </c>
      <c r="E24" s="44">
        <f>SUM(E17:E23)</f>
        <v>7</v>
      </c>
      <c r="F24" s="44">
        <f>SUM(F17:F23)</f>
        <v>5</v>
      </c>
      <c r="G24" s="45">
        <f>SUM(D24:F24)</f>
        <v>52</v>
      </c>
      <c r="H24" s="46">
        <f>SUM(H17:H23)</f>
        <v>50</v>
      </c>
      <c r="I24" s="47">
        <f>SUM(I17:I23)</f>
        <v>2</v>
      </c>
      <c r="J24" s="47">
        <f t="shared" ref="J24:N24" si="1">SUM(J17:J23)</f>
        <v>0</v>
      </c>
      <c r="K24" s="47">
        <f t="shared" si="1"/>
        <v>0</v>
      </c>
      <c r="L24" s="47">
        <f t="shared" si="1"/>
        <v>0</v>
      </c>
      <c r="M24" s="47">
        <f t="shared" si="1"/>
        <v>0</v>
      </c>
      <c r="N24" s="47">
        <f t="shared" si="1"/>
        <v>0</v>
      </c>
      <c r="O24" s="48">
        <f>SUM(O17:O23)</f>
        <v>0</v>
      </c>
      <c r="P24" s="35"/>
      <c r="Q24" s="35"/>
      <c r="R24" s="35"/>
      <c r="S24" s="35"/>
      <c r="T24" s="35"/>
      <c r="U24" s="35"/>
      <c r="V24" s="35"/>
      <c r="W24" s="35"/>
      <c r="X24" s="35"/>
      <c r="Y24" s="35"/>
    </row>
    <row r="25" spans="1:25" ht="24" customHeight="1" thickBot="1">
      <c r="C25" s="49"/>
      <c r="H25" s="7"/>
      <c r="I25" s="7"/>
      <c r="J25" s="7"/>
      <c r="K25" s="7"/>
      <c r="L25" s="7"/>
      <c r="M25" s="7"/>
      <c r="N25" s="7"/>
      <c r="O25" s="7"/>
      <c r="P25" s="7"/>
      <c r="Q25" s="7"/>
    </row>
    <row r="26" spans="1:25" s="51" customFormat="1" ht="30.75" customHeight="1">
      <c r="A26" s="1586"/>
      <c r="B26" s="1587"/>
      <c r="C26" s="50"/>
      <c r="D26" s="1959" t="s">
        <v>5</v>
      </c>
      <c r="E26" s="2424"/>
      <c r="F26" s="2424"/>
      <c r="G26" s="2425"/>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1874" t="s">
        <v>437</v>
      </c>
      <c r="B28" s="2568"/>
      <c r="C28" s="57">
        <v>2014</v>
      </c>
      <c r="D28" s="33"/>
      <c r="E28" s="31"/>
      <c r="F28" s="31"/>
      <c r="G28" s="58">
        <f>SUM(D28:F28)</f>
        <v>0</v>
      </c>
      <c r="H28" s="35"/>
      <c r="I28" s="35"/>
      <c r="J28" s="35"/>
      <c r="K28" s="35"/>
      <c r="L28" s="35"/>
      <c r="M28" s="35"/>
      <c r="N28" s="35"/>
      <c r="O28" s="35"/>
      <c r="P28" s="35"/>
      <c r="Q28" s="7"/>
    </row>
    <row r="29" spans="1:25">
      <c r="A29" s="1874"/>
      <c r="B29" s="2568"/>
      <c r="C29" s="59">
        <v>2015</v>
      </c>
      <c r="D29" s="39">
        <v>636</v>
      </c>
      <c r="E29" s="38"/>
      <c r="F29" s="38"/>
      <c r="G29" s="58">
        <f t="shared" ref="G29:G35" si="2">SUM(D29:F29)</f>
        <v>636</v>
      </c>
      <c r="H29" s="35"/>
      <c r="I29" s="35"/>
      <c r="J29" s="35"/>
      <c r="K29" s="35"/>
      <c r="L29" s="35"/>
      <c r="M29" s="35"/>
      <c r="N29" s="35"/>
      <c r="O29" s="35"/>
      <c r="P29" s="35"/>
      <c r="Q29" s="7"/>
    </row>
    <row r="30" spans="1:25">
      <c r="A30" s="1874"/>
      <c r="B30" s="2568"/>
      <c r="C30" s="59">
        <v>2016</v>
      </c>
      <c r="D30" s="39">
        <v>3895</v>
      </c>
      <c r="E30" s="38">
        <v>41613</v>
      </c>
      <c r="F30" s="38">
        <v>35948</v>
      </c>
      <c r="G30" s="58">
        <f t="shared" si="2"/>
        <v>81456</v>
      </c>
      <c r="H30" s="35"/>
      <c r="I30" s="35"/>
      <c r="J30" s="35"/>
      <c r="K30" s="35"/>
      <c r="L30" s="35"/>
      <c r="M30" s="35"/>
      <c r="N30" s="35"/>
      <c r="O30" s="35"/>
      <c r="P30" s="35"/>
      <c r="Q30" s="7"/>
    </row>
    <row r="31" spans="1:25">
      <c r="A31" s="1874"/>
      <c r="B31" s="2568"/>
      <c r="C31" s="59">
        <v>2017</v>
      </c>
      <c r="D31" s="39">
        <v>500</v>
      </c>
      <c r="E31" s="38">
        <v>35455</v>
      </c>
      <c r="F31" s="38">
        <v>30654</v>
      </c>
      <c r="G31" s="58">
        <f t="shared" si="2"/>
        <v>66609</v>
      </c>
      <c r="H31" s="35"/>
      <c r="I31" s="35"/>
      <c r="J31" s="35"/>
      <c r="K31" s="35"/>
      <c r="L31" s="35"/>
      <c r="M31" s="35"/>
      <c r="N31" s="35"/>
      <c r="O31" s="35"/>
      <c r="P31" s="35"/>
      <c r="Q31" s="7"/>
    </row>
    <row r="32" spans="1:25">
      <c r="A32" s="1874"/>
      <c r="B32" s="2568"/>
      <c r="C32" s="59">
        <v>2018</v>
      </c>
      <c r="D32" s="39"/>
      <c r="E32" s="38"/>
      <c r="F32" s="38"/>
      <c r="G32" s="58">
        <f>SUM(D32:F32)</f>
        <v>0</v>
      </c>
      <c r="H32" s="35"/>
      <c r="I32" s="35"/>
      <c r="J32" s="35"/>
      <c r="K32" s="35"/>
      <c r="L32" s="35"/>
      <c r="M32" s="35"/>
      <c r="N32" s="35"/>
      <c r="O32" s="35"/>
      <c r="P32" s="35"/>
      <c r="Q32" s="7"/>
    </row>
    <row r="33" spans="1:17">
      <c r="A33" s="1874"/>
      <c r="B33" s="2568"/>
      <c r="C33" s="60">
        <v>2019</v>
      </c>
      <c r="D33" s="39"/>
      <c r="E33" s="38"/>
      <c r="F33" s="38"/>
      <c r="G33" s="58">
        <f t="shared" si="2"/>
        <v>0</v>
      </c>
      <c r="H33" s="35"/>
      <c r="I33" s="35"/>
      <c r="J33" s="35"/>
      <c r="K33" s="35"/>
      <c r="L33" s="35"/>
      <c r="M33" s="35"/>
      <c r="N33" s="35"/>
      <c r="O33" s="35"/>
      <c r="P33" s="35"/>
      <c r="Q33" s="7"/>
    </row>
    <row r="34" spans="1:17">
      <c r="A34" s="1874"/>
      <c r="B34" s="2568"/>
      <c r="C34" s="59">
        <v>2020</v>
      </c>
      <c r="D34" s="39"/>
      <c r="E34" s="38"/>
      <c r="F34" s="38"/>
      <c r="G34" s="58">
        <f t="shared" si="2"/>
        <v>0</v>
      </c>
      <c r="H34" s="35"/>
      <c r="I34" s="35"/>
      <c r="J34" s="35"/>
      <c r="K34" s="35"/>
      <c r="L34" s="35"/>
      <c r="M34" s="35"/>
      <c r="N34" s="35"/>
      <c r="O34" s="35"/>
      <c r="P34" s="35"/>
      <c r="Q34" s="7"/>
    </row>
    <row r="35" spans="1:17" ht="374.25" customHeight="1" thickBot="1">
      <c r="A35" s="1876"/>
      <c r="B35" s="2569"/>
      <c r="C35" s="61" t="s">
        <v>13</v>
      </c>
      <c r="D35" s="46">
        <f>SUM(D28:D34)</f>
        <v>5031</v>
      </c>
      <c r="E35" s="44">
        <f>SUM(E28:E34)</f>
        <v>77068</v>
      </c>
      <c r="F35" s="44">
        <f>SUM(F28:F34)</f>
        <v>66602</v>
      </c>
      <c r="G35" s="48">
        <f t="shared" si="2"/>
        <v>148701</v>
      </c>
      <c r="H35" s="35"/>
      <c r="I35" s="35"/>
      <c r="J35" s="35"/>
      <c r="K35" s="35"/>
      <c r="L35" s="35"/>
      <c r="M35" s="35"/>
      <c r="N35" s="35"/>
      <c r="O35" s="35"/>
      <c r="P35" s="35"/>
      <c r="Q35" s="7"/>
    </row>
    <row r="36" spans="1:17">
      <c r="A36" s="1535"/>
      <c r="B36" s="1535"/>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6.5" customHeight="1" thickBot="1">
      <c r="G38" s="35"/>
      <c r="H38" s="35"/>
    </row>
    <row r="39" spans="1:17" ht="88.5" customHeight="1">
      <c r="A39" s="1544" t="s">
        <v>26</v>
      </c>
      <c r="B39" s="1545" t="s">
        <v>171</v>
      </c>
      <c r="C39" s="68" t="s">
        <v>9</v>
      </c>
      <c r="D39" s="69" t="s">
        <v>28</v>
      </c>
      <c r="E39" s="70" t="s">
        <v>29</v>
      </c>
      <c r="F39" s="71"/>
      <c r="G39" s="28"/>
      <c r="H39" s="28"/>
    </row>
    <row r="40" spans="1:17">
      <c r="A40" s="1874" t="s">
        <v>438</v>
      </c>
      <c r="B40" s="1855"/>
      <c r="C40" s="72">
        <v>2014</v>
      </c>
      <c r="D40" s="30"/>
      <c r="E40" s="29"/>
      <c r="F40" s="7"/>
      <c r="G40" s="35"/>
      <c r="H40" s="35"/>
    </row>
    <row r="41" spans="1:17">
      <c r="A41" s="1854"/>
      <c r="B41" s="1855"/>
      <c r="C41" s="73">
        <v>2015</v>
      </c>
      <c r="D41" s="37"/>
      <c r="E41" s="36"/>
      <c r="F41" s="7"/>
      <c r="G41" s="35"/>
      <c r="H41" s="35"/>
    </row>
    <row r="42" spans="1:17">
      <c r="A42" s="1854"/>
      <c r="B42" s="1855"/>
      <c r="C42" s="73">
        <v>2016</v>
      </c>
      <c r="D42" s="37">
        <v>851</v>
      </c>
      <c r="E42" s="36">
        <v>403</v>
      </c>
      <c r="F42" s="7"/>
      <c r="G42" s="35"/>
      <c r="H42" s="35"/>
    </row>
    <row r="43" spans="1:17">
      <c r="A43" s="1854"/>
      <c r="B43" s="1855"/>
      <c r="C43" s="73">
        <v>2017</v>
      </c>
      <c r="D43" s="37">
        <v>703</v>
      </c>
      <c r="E43" s="36">
        <v>453</v>
      </c>
      <c r="F43" s="7"/>
      <c r="G43" s="35"/>
      <c r="H43" s="35"/>
    </row>
    <row r="44" spans="1:17">
      <c r="A44" s="1854"/>
      <c r="B44" s="1855"/>
      <c r="C44" s="73">
        <v>2018</v>
      </c>
      <c r="D44" s="37"/>
      <c r="E44" s="36"/>
      <c r="F44" s="7"/>
      <c r="G44" s="35"/>
      <c r="H44" s="35"/>
    </row>
    <row r="45" spans="1:17">
      <c r="A45" s="1854"/>
      <c r="B45" s="1855"/>
      <c r="C45" s="73">
        <v>2019</v>
      </c>
      <c r="D45" s="37"/>
      <c r="E45" s="36"/>
      <c r="F45" s="7"/>
      <c r="G45" s="35"/>
      <c r="H45" s="35"/>
    </row>
    <row r="46" spans="1:17">
      <c r="A46" s="1854"/>
      <c r="B46" s="1855"/>
      <c r="C46" s="73">
        <v>2020</v>
      </c>
      <c r="D46" s="37"/>
      <c r="E46" s="36"/>
      <c r="F46" s="7"/>
      <c r="G46" s="35"/>
      <c r="H46" s="35"/>
    </row>
    <row r="47" spans="1:17" ht="15.75" thickBot="1">
      <c r="A47" s="1856"/>
      <c r="B47" s="1857"/>
      <c r="C47" s="42" t="s">
        <v>13</v>
      </c>
      <c r="D47" s="43">
        <f>SUM(D40:D46)</f>
        <v>1554</v>
      </c>
      <c r="E47" s="455">
        <f>SUM(E40:E46)</f>
        <v>856</v>
      </c>
      <c r="F47" s="78"/>
      <c r="G47" s="35"/>
      <c r="H47" s="35"/>
    </row>
    <row r="48" spans="1:17" s="35" customFormat="1" ht="15.75" thickBot="1">
      <c r="A48" s="1595"/>
      <c r="B48" s="80"/>
      <c r="C48" s="81"/>
    </row>
    <row r="49" spans="1:15" ht="83.25" customHeight="1">
      <c r="A49" s="82" t="s">
        <v>32</v>
      </c>
      <c r="B49" s="1545" t="s">
        <v>171</v>
      </c>
      <c r="C49" s="84" t="s">
        <v>9</v>
      </c>
      <c r="D49" s="69" t="s">
        <v>34</v>
      </c>
      <c r="E49" s="85" t="s">
        <v>35</v>
      </c>
      <c r="F49" s="85" t="s">
        <v>36</v>
      </c>
      <c r="G49" s="85" t="s">
        <v>37</v>
      </c>
      <c r="H49" s="85" t="s">
        <v>38</v>
      </c>
      <c r="I49" s="85" t="s">
        <v>39</v>
      </c>
      <c r="J49" s="85" t="s">
        <v>40</v>
      </c>
      <c r="K49" s="86" t="s">
        <v>41</v>
      </c>
    </row>
    <row r="50" spans="1:15" ht="17.25" customHeight="1">
      <c r="A50" s="1872"/>
      <c r="B50" s="1879"/>
      <c r="C50" s="87" t="s">
        <v>43</v>
      </c>
      <c r="D50" s="30"/>
      <c r="E50" s="31"/>
      <c r="F50" s="31"/>
      <c r="G50" s="31"/>
      <c r="H50" s="31"/>
      <c r="I50" s="31"/>
      <c r="J50" s="31"/>
      <c r="K50" s="34"/>
    </row>
    <row r="51" spans="1:15" ht="15" customHeight="1">
      <c r="A51" s="1874"/>
      <c r="B51" s="1881"/>
      <c r="C51" s="73">
        <v>2014</v>
      </c>
      <c r="D51" s="37"/>
      <c r="E51" s="38"/>
      <c r="F51" s="38"/>
      <c r="G51" s="38"/>
      <c r="H51" s="38"/>
      <c r="I51" s="38"/>
      <c r="J51" s="38"/>
      <c r="K51" s="88"/>
    </row>
    <row r="52" spans="1:15">
      <c r="A52" s="1874"/>
      <c r="B52" s="1881"/>
      <c r="C52" s="73">
        <v>2015</v>
      </c>
      <c r="D52" s="37"/>
      <c r="E52" s="38"/>
      <c r="F52" s="38"/>
      <c r="G52" s="38"/>
      <c r="H52" s="38"/>
      <c r="I52" s="38"/>
      <c r="J52" s="38"/>
      <c r="K52" s="88"/>
    </row>
    <row r="53" spans="1:15">
      <c r="A53" s="1874"/>
      <c r="B53" s="1881"/>
      <c r="C53" s="73">
        <v>2016</v>
      </c>
      <c r="D53" s="37"/>
      <c r="E53" s="38"/>
      <c r="F53" s="38"/>
      <c r="G53" s="38"/>
      <c r="H53" s="38"/>
      <c r="I53" s="38"/>
      <c r="J53" s="38"/>
      <c r="K53" s="88"/>
    </row>
    <row r="54" spans="1:15">
      <c r="A54" s="1874"/>
      <c r="B54" s="1881"/>
      <c r="C54" s="73">
        <v>2017</v>
      </c>
      <c r="D54" s="37"/>
      <c r="E54" s="38"/>
      <c r="F54" s="38"/>
      <c r="G54" s="38"/>
      <c r="H54" s="38"/>
      <c r="I54" s="38"/>
      <c r="J54" s="38"/>
      <c r="K54" s="88"/>
    </row>
    <row r="55" spans="1:15">
      <c r="A55" s="1874"/>
      <c r="B55" s="1881"/>
      <c r="C55" s="73">
        <v>2018</v>
      </c>
      <c r="D55" s="37"/>
      <c r="E55" s="38"/>
      <c r="F55" s="38"/>
      <c r="G55" s="38"/>
      <c r="H55" s="38"/>
      <c r="I55" s="38"/>
      <c r="J55" s="38"/>
      <c r="K55" s="88"/>
    </row>
    <row r="56" spans="1:15">
      <c r="A56" s="1874"/>
      <c r="B56" s="1881"/>
      <c r="C56" s="73">
        <v>2019</v>
      </c>
      <c r="D56" s="37"/>
      <c r="E56" s="38"/>
      <c r="F56" s="38"/>
      <c r="G56" s="38"/>
      <c r="H56" s="38"/>
      <c r="I56" s="38"/>
      <c r="J56" s="38"/>
      <c r="K56" s="88"/>
    </row>
    <row r="57" spans="1:15">
      <c r="A57" s="1874"/>
      <c r="B57" s="1881"/>
      <c r="C57" s="73">
        <v>2020</v>
      </c>
      <c r="D57" s="37"/>
      <c r="E57" s="38"/>
      <c r="F57" s="38"/>
      <c r="G57" s="38"/>
      <c r="H57" s="38"/>
      <c r="I57" s="38"/>
      <c r="J57" s="38"/>
      <c r="K57" s="93"/>
    </row>
    <row r="58" spans="1:15" ht="20.25" customHeight="1" thickBot="1">
      <c r="A58" s="1876"/>
      <c r="B58" s="1883"/>
      <c r="C58" s="42" t="s">
        <v>13</v>
      </c>
      <c r="D58" s="43">
        <f>SUM(D51:D57)</f>
        <v>0</v>
      </c>
      <c r="E58" s="44">
        <f>SUM(E51:E57)</f>
        <v>0</v>
      </c>
      <c r="F58" s="44">
        <f>SUM(F51:F57)</f>
        <v>0</v>
      </c>
      <c r="G58" s="44">
        <f>SUM(G51:G57)</f>
        <v>0</v>
      </c>
      <c r="H58" s="44">
        <f>SUM(H51:H57)</f>
        <v>0</v>
      </c>
      <c r="I58" s="44">
        <f t="shared" ref="I58" si="3">SUM(I51:I57)</f>
        <v>0</v>
      </c>
      <c r="J58" s="44">
        <f>SUM(J51:J57)</f>
        <v>0</v>
      </c>
      <c r="K58" s="48">
        <f>SUM(K50:K56)</f>
        <v>0</v>
      </c>
    </row>
    <row r="59" spans="1:15" ht="15.75" thickBot="1"/>
    <row r="60" spans="1:15" ht="21" customHeight="1">
      <c r="A60" s="2427" t="s">
        <v>44</v>
      </c>
      <c r="B60" s="1616"/>
      <c r="C60" s="2429" t="s">
        <v>9</v>
      </c>
      <c r="D60" s="2417" t="s">
        <v>45</v>
      </c>
      <c r="E60" s="96" t="s">
        <v>6</v>
      </c>
      <c r="F60" s="1542"/>
      <c r="G60" s="1542"/>
      <c r="H60" s="1542"/>
      <c r="I60" s="1542"/>
      <c r="J60" s="1542"/>
      <c r="K60" s="1542"/>
      <c r="L60" s="1543"/>
    </row>
    <row r="61" spans="1:15" ht="115.5" customHeight="1">
      <c r="A61" s="1970"/>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1898" t="s">
        <v>439</v>
      </c>
      <c r="B62" s="1899"/>
      <c r="C62" s="106">
        <v>2014</v>
      </c>
      <c r="D62" s="107"/>
      <c r="E62" s="108"/>
      <c r="F62" s="109"/>
      <c r="G62" s="109"/>
      <c r="H62" s="109"/>
      <c r="I62" s="109"/>
      <c r="J62" s="109"/>
      <c r="K62" s="109"/>
      <c r="L62" s="34"/>
      <c r="M62" s="7"/>
      <c r="N62" s="7"/>
      <c r="O62" s="7"/>
    </row>
    <row r="63" spans="1:15">
      <c r="A63" s="1891"/>
      <c r="B63" s="1899"/>
      <c r="C63" s="110">
        <v>2015</v>
      </c>
      <c r="D63" s="111">
        <v>3</v>
      </c>
      <c r="E63" s="112">
        <v>3</v>
      </c>
      <c r="F63" s="38"/>
      <c r="G63" s="38"/>
      <c r="H63" s="38"/>
      <c r="I63" s="38"/>
      <c r="J63" s="38"/>
      <c r="K63" s="38"/>
      <c r="L63" s="88"/>
      <c r="M63" s="7"/>
      <c r="N63" s="7"/>
      <c r="O63" s="7"/>
    </row>
    <row r="64" spans="1:15">
      <c r="A64" s="1891"/>
      <c r="B64" s="1899"/>
      <c r="C64" s="110">
        <v>2016</v>
      </c>
      <c r="D64" s="111">
        <v>19</v>
      </c>
      <c r="E64" s="112">
        <v>19</v>
      </c>
      <c r="F64" s="38"/>
      <c r="G64" s="38"/>
      <c r="H64" s="38"/>
      <c r="I64" s="38"/>
      <c r="J64" s="38"/>
      <c r="K64" s="38"/>
      <c r="L64" s="88"/>
      <c r="M64" s="7"/>
      <c r="N64" s="7"/>
      <c r="O64" s="7"/>
    </row>
    <row r="65" spans="1:20">
      <c r="A65" s="1891"/>
      <c r="B65" s="1899"/>
      <c r="C65" s="110">
        <v>2017</v>
      </c>
      <c r="D65" s="111">
        <v>12</v>
      </c>
      <c r="E65" s="112">
        <v>12</v>
      </c>
      <c r="F65" s="38"/>
      <c r="G65" s="38"/>
      <c r="H65" s="38"/>
      <c r="I65" s="38"/>
      <c r="J65" s="38"/>
      <c r="K65" s="38"/>
      <c r="L65" s="88"/>
      <c r="M65" s="7"/>
      <c r="N65" s="7"/>
      <c r="O65" s="7"/>
    </row>
    <row r="66" spans="1:20">
      <c r="A66" s="1891"/>
      <c r="B66" s="1899"/>
      <c r="C66" s="110">
        <v>2018</v>
      </c>
      <c r="D66" s="111"/>
      <c r="E66" s="112"/>
      <c r="F66" s="38"/>
      <c r="G66" s="38"/>
      <c r="H66" s="38"/>
      <c r="I66" s="38"/>
      <c r="J66" s="38"/>
      <c r="K66" s="38"/>
      <c r="L66" s="88"/>
      <c r="M66" s="7"/>
      <c r="N66" s="7"/>
      <c r="O66" s="7"/>
    </row>
    <row r="67" spans="1:20" ht="17.25" customHeight="1">
      <c r="A67" s="1891"/>
      <c r="B67" s="1899"/>
      <c r="C67" s="110">
        <v>2019</v>
      </c>
      <c r="D67" s="111"/>
      <c r="E67" s="112"/>
      <c r="F67" s="38"/>
      <c r="G67" s="38"/>
      <c r="H67" s="38"/>
      <c r="I67" s="38"/>
      <c r="J67" s="38"/>
      <c r="K67" s="38"/>
      <c r="L67" s="88"/>
      <c r="M67" s="7"/>
      <c r="N67" s="7"/>
      <c r="O67" s="7"/>
    </row>
    <row r="68" spans="1:20" ht="16.5" customHeight="1">
      <c r="A68" s="1891"/>
      <c r="B68" s="1899"/>
      <c r="C68" s="110">
        <v>2020</v>
      </c>
      <c r="D68" s="111"/>
      <c r="E68" s="112"/>
      <c r="F68" s="38"/>
      <c r="G68" s="38"/>
      <c r="H68" s="38"/>
      <c r="I68" s="38"/>
      <c r="J68" s="38"/>
      <c r="K68" s="38"/>
      <c r="L68" s="88"/>
      <c r="M68" s="78"/>
      <c r="N68" s="78"/>
      <c r="O68" s="78"/>
    </row>
    <row r="69" spans="1:20" ht="18" customHeight="1" thickBot="1">
      <c r="A69" s="1980"/>
      <c r="B69" s="1900"/>
      <c r="C69" s="113" t="s">
        <v>13</v>
      </c>
      <c r="D69" s="114">
        <f>SUM(D62:D68)</f>
        <v>34</v>
      </c>
      <c r="E69" s="115">
        <f>SUM(E62:E68)</f>
        <v>34</v>
      </c>
      <c r="F69" s="116">
        <f t="shared" ref="F69:I69" si="4">SUM(F62:F68)</f>
        <v>0</v>
      </c>
      <c r="G69" s="116">
        <f t="shared" si="4"/>
        <v>0</v>
      </c>
      <c r="H69" s="116">
        <f t="shared" si="4"/>
        <v>0</v>
      </c>
      <c r="I69" s="116">
        <f t="shared" si="4"/>
        <v>0</v>
      </c>
      <c r="J69" s="116"/>
      <c r="K69" s="116">
        <f>SUM(K62:K68)</f>
        <v>0</v>
      </c>
      <c r="L69" s="117">
        <f>SUM(L62:L68)</f>
        <v>0</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1544" t="s">
        <v>47</v>
      </c>
      <c r="B71" s="1545"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1874"/>
      <c r="B72" s="1899"/>
      <c r="C72" s="72">
        <v>2014</v>
      </c>
      <c r="D72" s="131"/>
      <c r="E72" s="131"/>
      <c r="F72" s="131"/>
      <c r="G72" s="132">
        <f>SUM(D72:F72)</f>
        <v>0</v>
      </c>
      <c r="H72" s="30"/>
      <c r="I72" s="133"/>
      <c r="J72" s="109"/>
      <c r="K72" s="109"/>
      <c r="L72" s="109"/>
      <c r="M72" s="109"/>
      <c r="N72" s="109"/>
      <c r="O72" s="134"/>
    </row>
    <row r="73" spans="1:20">
      <c r="A73" s="1854"/>
      <c r="B73" s="1899"/>
      <c r="C73" s="73">
        <v>2015</v>
      </c>
      <c r="D73" s="135"/>
      <c r="E73" s="135"/>
      <c r="F73" s="135"/>
      <c r="G73" s="132">
        <f t="shared" ref="G73:G78" si="5">SUM(D73:F73)</f>
        <v>0</v>
      </c>
      <c r="H73" s="37"/>
      <c r="I73" s="37"/>
      <c r="J73" s="38"/>
      <c r="K73" s="38"/>
      <c r="L73" s="38"/>
      <c r="M73" s="38"/>
      <c r="N73" s="38"/>
      <c r="O73" s="88"/>
    </row>
    <row r="74" spans="1:20">
      <c r="A74" s="1854"/>
      <c r="B74" s="1899"/>
      <c r="C74" s="73">
        <v>2016</v>
      </c>
      <c r="D74" s="135"/>
      <c r="E74" s="135"/>
      <c r="F74" s="135"/>
      <c r="G74" s="132">
        <f t="shared" si="5"/>
        <v>0</v>
      </c>
      <c r="H74" s="37"/>
      <c r="I74" s="37"/>
      <c r="J74" s="38"/>
      <c r="K74" s="38"/>
      <c r="L74" s="38"/>
      <c r="M74" s="38"/>
      <c r="N74" s="38"/>
      <c r="O74" s="88"/>
    </row>
    <row r="75" spans="1:20">
      <c r="A75" s="1854"/>
      <c r="B75" s="1899"/>
      <c r="C75" s="73">
        <v>2017</v>
      </c>
      <c r="D75" s="135"/>
      <c r="E75" s="135"/>
      <c r="F75" s="135"/>
      <c r="G75" s="132">
        <f t="shared" si="5"/>
        <v>0</v>
      </c>
      <c r="H75" s="37"/>
      <c r="I75" s="37"/>
      <c r="J75" s="38"/>
      <c r="K75" s="38"/>
      <c r="L75" s="38"/>
      <c r="M75" s="38"/>
      <c r="N75" s="38"/>
      <c r="O75" s="88"/>
    </row>
    <row r="76" spans="1:20">
      <c r="A76" s="1854"/>
      <c r="B76" s="1899"/>
      <c r="C76" s="73">
        <v>2018</v>
      </c>
      <c r="D76" s="135"/>
      <c r="E76" s="135"/>
      <c r="F76" s="135"/>
      <c r="G76" s="132">
        <f t="shared" si="5"/>
        <v>0</v>
      </c>
      <c r="H76" s="37"/>
      <c r="I76" s="37"/>
      <c r="J76" s="38"/>
      <c r="K76" s="38"/>
      <c r="L76" s="38"/>
      <c r="M76" s="38"/>
      <c r="N76" s="38"/>
      <c r="O76" s="88"/>
    </row>
    <row r="77" spans="1:20" ht="15.75" customHeight="1">
      <c r="A77" s="1854"/>
      <c r="B77" s="1899"/>
      <c r="C77" s="73">
        <v>2019</v>
      </c>
      <c r="D77" s="135"/>
      <c r="E77" s="135"/>
      <c r="F77" s="135"/>
      <c r="G77" s="132">
        <f t="shared" si="5"/>
        <v>0</v>
      </c>
      <c r="H77" s="37"/>
      <c r="I77" s="37"/>
      <c r="J77" s="38"/>
      <c r="K77" s="38"/>
      <c r="L77" s="38"/>
      <c r="M77" s="38"/>
      <c r="N77" s="38"/>
      <c r="O77" s="88"/>
    </row>
    <row r="78" spans="1:20" ht="17.25" customHeight="1">
      <c r="A78" s="1854"/>
      <c r="B78" s="1899"/>
      <c r="C78" s="73">
        <v>2020</v>
      </c>
      <c r="D78" s="135"/>
      <c r="E78" s="135"/>
      <c r="F78" s="135"/>
      <c r="G78" s="132">
        <f t="shared" si="5"/>
        <v>0</v>
      </c>
      <c r="H78" s="37"/>
      <c r="I78" s="37"/>
      <c r="J78" s="38"/>
      <c r="K78" s="38"/>
      <c r="L78" s="38"/>
      <c r="M78" s="38"/>
      <c r="N78" s="38"/>
      <c r="O78" s="88"/>
    </row>
    <row r="79" spans="1:20" ht="20.25" customHeight="1" thickBot="1">
      <c r="A79" s="1980"/>
      <c r="B79" s="1900"/>
      <c r="C79" s="136" t="s">
        <v>13</v>
      </c>
      <c r="D79" s="114">
        <f>SUM(D72:D78)</f>
        <v>0</v>
      </c>
      <c r="E79" s="114">
        <f>SUM(E72:E78)</f>
        <v>0</v>
      </c>
      <c r="F79" s="114">
        <f>SUM(F72:F78)</f>
        <v>0</v>
      </c>
      <c r="G79" s="137">
        <f>SUM(G72:G78)</f>
        <v>0</v>
      </c>
      <c r="H79" s="138">
        <v>0</v>
      </c>
      <c r="I79" s="139">
        <f t="shared" ref="I79:O79" si="6">SUM(I72:I78)</f>
        <v>0</v>
      </c>
      <c r="J79" s="116">
        <f t="shared" si="6"/>
        <v>0</v>
      </c>
      <c r="K79" s="116">
        <f t="shared" si="6"/>
        <v>0</v>
      </c>
      <c r="L79" s="116">
        <f t="shared" si="6"/>
        <v>0</v>
      </c>
      <c r="M79" s="116">
        <f t="shared" si="6"/>
        <v>0</v>
      </c>
      <c r="N79" s="116">
        <f t="shared" si="6"/>
        <v>0</v>
      </c>
      <c r="O79" s="117">
        <f t="shared" si="6"/>
        <v>0</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1546" t="s">
        <v>56</v>
      </c>
      <c r="B84" s="1547" t="s">
        <v>178</v>
      </c>
      <c r="C84" s="149" t="s">
        <v>9</v>
      </c>
      <c r="D84" s="150" t="s">
        <v>58</v>
      </c>
      <c r="E84" s="151" t="s">
        <v>59</v>
      </c>
      <c r="F84" s="152" t="s">
        <v>60</v>
      </c>
      <c r="G84" s="152" t="s">
        <v>61</v>
      </c>
      <c r="H84" s="152" t="s">
        <v>62</v>
      </c>
      <c r="I84" s="152" t="s">
        <v>63</v>
      </c>
      <c r="J84" s="152" t="s">
        <v>64</v>
      </c>
      <c r="K84" s="153" t="s">
        <v>65</v>
      </c>
    </row>
    <row r="85" spans="1:16" ht="15" customHeight="1">
      <c r="A85" s="1939" t="s">
        <v>440</v>
      </c>
      <c r="B85" s="1899"/>
      <c r="C85" s="72">
        <v>2014</v>
      </c>
      <c r="D85" s="154"/>
      <c r="E85" s="155"/>
      <c r="F85" s="31"/>
      <c r="G85" s="31"/>
      <c r="H85" s="31"/>
      <c r="I85" s="31"/>
      <c r="J85" s="31"/>
      <c r="K85" s="34"/>
    </row>
    <row r="86" spans="1:16">
      <c r="A86" s="1939"/>
      <c r="B86" s="1899"/>
      <c r="C86" s="73">
        <v>2015</v>
      </c>
      <c r="D86" s="156"/>
      <c r="E86" s="112"/>
      <c r="F86" s="38"/>
      <c r="G86" s="38"/>
      <c r="H86" s="38"/>
      <c r="I86" s="38"/>
      <c r="J86" s="38"/>
      <c r="K86" s="88"/>
    </row>
    <row r="87" spans="1:16">
      <c r="A87" s="1939"/>
      <c r="B87" s="1899"/>
      <c r="C87" s="73">
        <v>2016</v>
      </c>
      <c r="D87" s="156">
        <v>8</v>
      </c>
      <c r="E87" s="112">
        <v>8</v>
      </c>
      <c r="F87" s="38"/>
      <c r="G87" s="38"/>
      <c r="H87" s="38"/>
      <c r="I87" s="38"/>
      <c r="J87" s="38"/>
      <c r="K87" s="88"/>
    </row>
    <row r="88" spans="1:16">
      <c r="A88" s="1939"/>
      <c r="B88" s="1899"/>
      <c r="C88" s="73">
        <v>2017</v>
      </c>
      <c r="D88" s="156"/>
      <c r="E88" s="112"/>
      <c r="F88" s="38"/>
      <c r="G88" s="38"/>
      <c r="H88" s="38"/>
      <c r="I88" s="38"/>
      <c r="J88" s="38"/>
      <c r="K88" s="88"/>
    </row>
    <row r="89" spans="1:16">
      <c r="A89" s="1939"/>
      <c r="B89" s="1899"/>
      <c r="C89" s="73">
        <v>2018</v>
      </c>
      <c r="D89" s="156"/>
      <c r="E89" s="112"/>
      <c r="F89" s="38"/>
      <c r="G89" s="38"/>
      <c r="H89" s="38"/>
      <c r="I89" s="38"/>
      <c r="J89" s="38"/>
      <c r="K89" s="88"/>
    </row>
    <row r="90" spans="1:16">
      <c r="A90" s="1939"/>
      <c r="B90" s="1899"/>
      <c r="C90" s="73">
        <v>2019</v>
      </c>
      <c r="D90" s="156"/>
      <c r="E90" s="112"/>
      <c r="F90" s="38"/>
      <c r="G90" s="38"/>
      <c r="H90" s="38"/>
      <c r="I90" s="38"/>
      <c r="J90" s="38"/>
      <c r="K90" s="88"/>
    </row>
    <row r="91" spans="1:16">
      <c r="A91" s="1939"/>
      <c r="B91" s="1899"/>
      <c r="C91" s="73">
        <v>2020</v>
      </c>
      <c r="D91" s="156"/>
      <c r="E91" s="112"/>
      <c r="F91" s="38"/>
      <c r="G91" s="38"/>
      <c r="H91" s="38"/>
      <c r="I91" s="38"/>
      <c r="J91" s="38"/>
      <c r="K91" s="88"/>
    </row>
    <row r="92" spans="1:16" ht="18" customHeight="1" thickBot="1">
      <c r="A92" s="1940"/>
      <c r="B92" s="1900"/>
      <c r="C92" s="136" t="s">
        <v>13</v>
      </c>
      <c r="D92" s="157">
        <f t="shared" ref="D92:I92" si="7">SUM(D85:D91)</f>
        <v>8</v>
      </c>
      <c r="E92" s="115">
        <f t="shared" si="7"/>
        <v>8</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405" t="s">
        <v>68</v>
      </c>
      <c r="B96" s="2407" t="s">
        <v>179</v>
      </c>
      <c r="C96" s="2413" t="s">
        <v>9</v>
      </c>
      <c r="D96" s="1916" t="s">
        <v>70</v>
      </c>
      <c r="E96" s="1917"/>
      <c r="F96" s="162" t="s">
        <v>71</v>
      </c>
      <c r="G96" s="1548"/>
      <c r="H96" s="1548"/>
      <c r="I96" s="1548"/>
      <c r="J96" s="1548"/>
      <c r="K96" s="1548"/>
      <c r="L96" s="1548"/>
      <c r="M96" s="1549"/>
      <c r="N96" s="165"/>
      <c r="O96" s="165"/>
      <c r="P96" s="165"/>
    </row>
    <row r="97" spans="1:16" ht="100.5" customHeight="1">
      <c r="A97" s="1910"/>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1898"/>
      <c r="B98" s="1899"/>
      <c r="C98" s="106">
        <v>2014</v>
      </c>
      <c r="D98" s="30"/>
      <c r="E98" s="31"/>
      <c r="F98" s="174"/>
      <c r="G98" s="175"/>
      <c r="H98" s="175"/>
      <c r="I98" s="175"/>
      <c r="J98" s="175"/>
      <c r="K98" s="175"/>
      <c r="L98" s="175"/>
      <c r="M98" s="176"/>
      <c r="N98" s="165"/>
      <c r="O98" s="165"/>
      <c r="P98" s="165"/>
    </row>
    <row r="99" spans="1:16" ht="16.5" customHeight="1">
      <c r="A99" s="1891"/>
      <c r="B99" s="1899"/>
      <c r="C99" s="110">
        <v>2015</v>
      </c>
      <c r="D99" s="37"/>
      <c r="E99" s="38"/>
      <c r="F99" s="177"/>
      <c r="G99" s="178"/>
      <c r="H99" s="178"/>
      <c r="I99" s="178"/>
      <c r="J99" s="178"/>
      <c r="K99" s="178"/>
      <c r="L99" s="178"/>
      <c r="M99" s="179"/>
      <c r="N99" s="165"/>
      <c r="O99" s="165"/>
      <c r="P99" s="165"/>
    </row>
    <row r="100" spans="1:16" ht="16.5" customHeight="1">
      <c r="A100" s="1891"/>
      <c r="B100" s="1899"/>
      <c r="C100" s="110">
        <v>2016</v>
      </c>
      <c r="D100" s="37"/>
      <c r="E100" s="38"/>
      <c r="F100" s="177"/>
      <c r="G100" s="178"/>
      <c r="H100" s="178"/>
      <c r="I100" s="178"/>
      <c r="J100" s="178"/>
      <c r="K100" s="178"/>
      <c r="L100" s="178"/>
      <c r="M100" s="179"/>
      <c r="N100" s="165"/>
      <c r="O100" s="165"/>
      <c r="P100" s="165"/>
    </row>
    <row r="101" spans="1:16" ht="16.5" customHeight="1">
      <c r="A101" s="1891"/>
      <c r="B101" s="1899"/>
      <c r="C101" s="110">
        <v>2017</v>
      </c>
      <c r="D101" s="37"/>
      <c r="E101" s="38"/>
      <c r="F101" s="177"/>
      <c r="G101" s="178"/>
      <c r="H101" s="178"/>
      <c r="I101" s="178"/>
      <c r="J101" s="178"/>
      <c r="K101" s="178"/>
      <c r="L101" s="178"/>
      <c r="M101" s="179"/>
      <c r="N101" s="165"/>
      <c r="O101" s="165"/>
      <c r="P101" s="165"/>
    </row>
    <row r="102" spans="1:16" ht="15.75" customHeight="1">
      <c r="A102" s="1891"/>
      <c r="B102" s="1899"/>
      <c r="C102" s="110">
        <v>2018</v>
      </c>
      <c r="D102" s="37"/>
      <c r="E102" s="38"/>
      <c r="F102" s="177"/>
      <c r="G102" s="178"/>
      <c r="H102" s="178"/>
      <c r="I102" s="178"/>
      <c r="J102" s="178"/>
      <c r="K102" s="178"/>
      <c r="L102" s="178"/>
      <c r="M102" s="179"/>
      <c r="N102" s="165"/>
      <c r="O102" s="165"/>
      <c r="P102" s="165"/>
    </row>
    <row r="103" spans="1:16" ht="14.25" customHeight="1">
      <c r="A103" s="1891"/>
      <c r="B103" s="1899"/>
      <c r="C103" s="110">
        <v>2019</v>
      </c>
      <c r="D103" s="37"/>
      <c r="E103" s="38"/>
      <c r="F103" s="177"/>
      <c r="G103" s="178"/>
      <c r="H103" s="178"/>
      <c r="I103" s="178"/>
      <c r="J103" s="178"/>
      <c r="K103" s="178"/>
      <c r="L103" s="178"/>
      <c r="M103" s="179"/>
      <c r="N103" s="165"/>
      <c r="O103" s="165"/>
      <c r="P103" s="165"/>
    </row>
    <row r="104" spans="1:16" ht="14.25" customHeight="1">
      <c r="A104" s="1891"/>
      <c r="B104" s="1899"/>
      <c r="C104" s="110">
        <v>2020</v>
      </c>
      <c r="D104" s="37"/>
      <c r="E104" s="38"/>
      <c r="F104" s="177"/>
      <c r="G104" s="178"/>
      <c r="H104" s="178"/>
      <c r="I104" s="178"/>
      <c r="J104" s="178"/>
      <c r="K104" s="178"/>
      <c r="L104" s="178"/>
      <c r="M104" s="179"/>
      <c r="N104" s="165"/>
      <c r="O104" s="165"/>
      <c r="P104" s="165"/>
    </row>
    <row r="105" spans="1:16" ht="19.5" customHeight="1" thickBot="1">
      <c r="A105" s="1915"/>
      <c r="B105" s="1900"/>
      <c r="C105" s="113" t="s">
        <v>13</v>
      </c>
      <c r="D105" s="139">
        <f>SUM(D98:D104)</f>
        <v>0</v>
      </c>
      <c r="E105" s="116">
        <f t="shared" ref="E105:K105" si="8">SUM(E98:E104)</f>
        <v>0</v>
      </c>
      <c r="F105" s="180">
        <f t="shared" si="8"/>
        <v>0</v>
      </c>
      <c r="G105" s="181">
        <f t="shared" si="8"/>
        <v>0</v>
      </c>
      <c r="H105" s="181">
        <f t="shared" si="8"/>
        <v>0</v>
      </c>
      <c r="I105" s="181">
        <f>SUM(I98:I104)</f>
        <v>0</v>
      </c>
      <c r="J105" s="181">
        <f t="shared" si="8"/>
        <v>0</v>
      </c>
      <c r="K105" s="181">
        <f t="shared" si="8"/>
        <v>0</v>
      </c>
      <c r="L105" s="181">
        <f>SUM(L98:L104)</f>
        <v>0</v>
      </c>
      <c r="M105" s="182">
        <f>SUM(M98:M104)</f>
        <v>0</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405" t="s">
        <v>77</v>
      </c>
      <c r="B107" s="2407" t="s">
        <v>179</v>
      </c>
      <c r="C107" s="2413" t="s">
        <v>9</v>
      </c>
      <c r="D107" s="2414" t="s">
        <v>78</v>
      </c>
      <c r="E107" s="162" t="s">
        <v>79</v>
      </c>
      <c r="F107" s="1548"/>
      <c r="G107" s="1548"/>
      <c r="H107" s="1548"/>
      <c r="I107" s="1548"/>
      <c r="J107" s="1548"/>
      <c r="K107" s="1548"/>
      <c r="L107" s="1549"/>
      <c r="M107" s="185"/>
      <c r="N107" s="185"/>
    </row>
    <row r="108" spans="1:16" ht="103.5"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1898" t="s">
        <v>441</v>
      </c>
      <c r="B109" s="1899"/>
      <c r="C109" s="106">
        <v>2014</v>
      </c>
      <c r="D109" s="31"/>
      <c r="E109" s="174"/>
      <c r="F109" s="175"/>
      <c r="G109" s="175"/>
      <c r="H109" s="175"/>
      <c r="I109" s="175"/>
      <c r="J109" s="175"/>
      <c r="K109" s="175"/>
      <c r="L109" s="176"/>
      <c r="M109" s="185"/>
      <c r="N109" s="185"/>
    </row>
    <row r="110" spans="1:16">
      <c r="A110" s="1891"/>
      <c r="B110" s="1899"/>
      <c r="C110" s="110">
        <v>2015</v>
      </c>
      <c r="D110" s="38">
        <v>16</v>
      </c>
      <c r="E110" s="177">
        <v>16</v>
      </c>
      <c r="F110" s="178"/>
      <c r="G110" s="178"/>
      <c r="H110" s="178"/>
      <c r="I110" s="178"/>
      <c r="J110" s="178"/>
      <c r="K110" s="178"/>
      <c r="L110" s="179"/>
      <c r="M110" s="185"/>
      <c r="N110" s="185"/>
    </row>
    <row r="111" spans="1:16">
      <c r="A111" s="1891"/>
      <c r="B111" s="1899"/>
      <c r="C111" s="110">
        <v>2016</v>
      </c>
      <c r="D111" s="38">
        <v>12</v>
      </c>
      <c r="E111" s="177">
        <v>12</v>
      </c>
      <c r="F111" s="178"/>
      <c r="G111" s="178"/>
      <c r="H111" s="178"/>
      <c r="I111" s="178"/>
      <c r="J111" s="178"/>
      <c r="K111" s="178"/>
      <c r="L111" s="179"/>
      <c r="M111" s="185"/>
      <c r="N111" s="185"/>
    </row>
    <row r="112" spans="1:16">
      <c r="A112" s="1891"/>
      <c r="B112" s="1899"/>
      <c r="C112" s="110">
        <v>2017</v>
      </c>
      <c r="D112" s="38">
        <v>44</v>
      </c>
      <c r="E112" s="177">
        <v>44</v>
      </c>
      <c r="F112" s="178"/>
      <c r="G112" s="178"/>
      <c r="H112" s="178"/>
      <c r="I112" s="178"/>
      <c r="J112" s="178"/>
      <c r="K112" s="178"/>
      <c r="L112" s="179"/>
      <c r="M112" s="185"/>
      <c r="N112" s="185"/>
    </row>
    <row r="113" spans="1:14">
      <c r="A113" s="1891"/>
      <c r="B113" s="1899"/>
      <c r="C113" s="110">
        <v>2018</v>
      </c>
      <c r="D113" s="38"/>
      <c r="E113" s="177"/>
      <c r="F113" s="178"/>
      <c r="G113" s="178"/>
      <c r="H113" s="178"/>
      <c r="I113" s="178"/>
      <c r="J113" s="178"/>
      <c r="K113" s="178"/>
      <c r="L113" s="179"/>
      <c r="M113" s="185"/>
      <c r="N113" s="185"/>
    </row>
    <row r="114" spans="1:14">
      <c r="A114" s="1891"/>
      <c r="B114" s="1899"/>
      <c r="C114" s="110">
        <v>2019</v>
      </c>
      <c r="D114" s="38"/>
      <c r="E114" s="177"/>
      <c r="F114" s="178"/>
      <c r="G114" s="178"/>
      <c r="H114" s="178"/>
      <c r="I114" s="178"/>
      <c r="J114" s="178"/>
      <c r="K114" s="178"/>
      <c r="L114" s="179"/>
      <c r="M114" s="185"/>
      <c r="N114" s="185"/>
    </row>
    <row r="115" spans="1:14">
      <c r="A115" s="1891"/>
      <c r="B115" s="1899"/>
      <c r="C115" s="110">
        <v>2020</v>
      </c>
      <c r="D115" s="38"/>
      <c r="E115" s="177"/>
      <c r="F115" s="178"/>
      <c r="G115" s="178"/>
      <c r="H115" s="178"/>
      <c r="I115" s="178"/>
      <c r="J115" s="178"/>
      <c r="K115" s="178"/>
      <c r="L115" s="179"/>
      <c r="M115" s="185"/>
      <c r="N115" s="185"/>
    </row>
    <row r="116" spans="1:14" ht="78" customHeight="1" thickBot="1">
      <c r="A116" s="1915"/>
      <c r="B116" s="1900"/>
      <c r="C116" s="113" t="s">
        <v>13</v>
      </c>
      <c r="D116" s="116">
        <f t="shared" ref="D116:I116" si="9">SUM(D109:D115)</f>
        <v>72</v>
      </c>
      <c r="E116" s="180">
        <f t="shared" si="9"/>
        <v>72</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405" t="s">
        <v>81</v>
      </c>
      <c r="B118" s="2407" t="s">
        <v>179</v>
      </c>
      <c r="C118" s="2413" t="s">
        <v>9</v>
      </c>
      <c r="D118" s="2414" t="s">
        <v>82</v>
      </c>
      <c r="E118" s="162" t="s">
        <v>79</v>
      </c>
      <c r="F118" s="1548"/>
      <c r="G118" s="1548"/>
      <c r="H118" s="1548"/>
      <c r="I118" s="1548"/>
      <c r="J118" s="1548"/>
      <c r="K118" s="1548"/>
      <c r="L118" s="1549"/>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1898"/>
      <c r="B120" s="1899"/>
      <c r="C120" s="106">
        <v>2014</v>
      </c>
      <c r="D120" s="31"/>
      <c r="E120" s="174"/>
      <c r="F120" s="175"/>
      <c r="G120" s="175"/>
      <c r="H120" s="175"/>
      <c r="I120" s="175"/>
      <c r="J120" s="175"/>
      <c r="K120" s="175"/>
      <c r="L120" s="176"/>
      <c r="M120" s="185"/>
      <c r="N120" s="185"/>
    </row>
    <row r="121" spans="1:14">
      <c r="A121" s="1891"/>
      <c r="B121" s="1899"/>
      <c r="C121" s="110">
        <v>2015</v>
      </c>
      <c r="D121" s="38"/>
      <c r="E121" s="177"/>
      <c r="F121" s="178"/>
      <c r="G121" s="178"/>
      <c r="H121" s="178"/>
      <c r="I121" s="178"/>
      <c r="J121" s="178"/>
      <c r="K121" s="178"/>
      <c r="L121" s="179"/>
      <c r="M121" s="185"/>
      <c r="N121" s="185"/>
    </row>
    <row r="122" spans="1:14">
      <c r="A122" s="1891"/>
      <c r="B122" s="1899"/>
      <c r="C122" s="110">
        <v>2016</v>
      </c>
      <c r="D122" s="38"/>
      <c r="E122" s="177"/>
      <c r="F122" s="178"/>
      <c r="G122" s="178"/>
      <c r="H122" s="178"/>
      <c r="I122" s="178"/>
      <c r="J122" s="178"/>
      <c r="K122" s="178"/>
      <c r="L122" s="179"/>
      <c r="M122" s="185"/>
      <c r="N122" s="185"/>
    </row>
    <row r="123" spans="1:14">
      <c r="A123" s="1891"/>
      <c r="B123" s="1899"/>
      <c r="C123" s="110">
        <v>2017</v>
      </c>
      <c r="D123" s="38"/>
      <c r="E123" s="177"/>
      <c r="F123" s="178"/>
      <c r="G123" s="178"/>
      <c r="H123" s="178"/>
      <c r="I123" s="178"/>
      <c r="J123" s="178"/>
      <c r="K123" s="178"/>
      <c r="L123" s="179"/>
      <c r="M123" s="185"/>
      <c r="N123" s="185"/>
    </row>
    <row r="124" spans="1:14">
      <c r="A124" s="1891"/>
      <c r="B124" s="1899"/>
      <c r="C124" s="110">
        <v>2018</v>
      </c>
      <c r="D124" s="38"/>
      <c r="E124" s="177"/>
      <c r="F124" s="178"/>
      <c r="G124" s="178"/>
      <c r="H124" s="178"/>
      <c r="I124" s="178"/>
      <c r="J124" s="178"/>
      <c r="K124" s="178"/>
      <c r="L124" s="179"/>
      <c r="M124" s="185"/>
      <c r="N124" s="185"/>
    </row>
    <row r="125" spans="1:14">
      <c r="A125" s="1891"/>
      <c r="B125" s="1899"/>
      <c r="C125" s="110">
        <v>2019</v>
      </c>
      <c r="D125" s="38"/>
      <c r="E125" s="177"/>
      <c r="F125" s="178"/>
      <c r="G125" s="178"/>
      <c r="H125" s="178"/>
      <c r="I125" s="178"/>
      <c r="J125" s="178"/>
      <c r="K125" s="178"/>
      <c r="L125" s="179"/>
      <c r="M125" s="185"/>
      <c r="N125" s="185"/>
    </row>
    <row r="126" spans="1:14">
      <c r="A126" s="1891"/>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405" t="s">
        <v>84</v>
      </c>
      <c r="B129" s="2407" t="s">
        <v>179</v>
      </c>
      <c r="C129" s="1550" t="s">
        <v>9</v>
      </c>
      <c r="D129" s="189" t="s">
        <v>85</v>
      </c>
      <c r="E129" s="1551"/>
      <c r="F129" s="1551"/>
      <c r="G129" s="191"/>
      <c r="H129" s="185"/>
      <c r="I129" s="185"/>
      <c r="J129" s="185"/>
      <c r="K129" s="185"/>
      <c r="L129" s="185"/>
      <c r="M129" s="185"/>
      <c r="N129" s="185"/>
    </row>
    <row r="130" spans="1:16" ht="77.25" customHeight="1">
      <c r="A130" s="1910"/>
      <c r="B130" s="1912"/>
      <c r="C130" s="1528"/>
      <c r="D130" s="166" t="s">
        <v>86</v>
      </c>
      <c r="E130" s="193" t="s">
        <v>87</v>
      </c>
      <c r="F130" s="167" t="s">
        <v>88</v>
      </c>
      <c r="G130" s="194" t="s">
        <v>13</v>
      </c>
      <c r="H130" s="185"/>
      <c r="I130" s="185"/>
      <c r="J130" s="185"/>
      <c r="K130" s="185"/>
      <c r="L130" s="185"/>
      <c r="M130" s="185"/>
      <c r="N130" s="185"/>
    </row>
    <row r="131" spans="1:16" ht="15" customHeight="1">
      <c r="A131" s="1874"/>
      <c r="B131" s="1855"/>
      <c r="C131" s="106">
        <v>2015</v>
      </c>
      <c r="D131" s="30"/>
      <c r="E131" s="31"/>
      <c r="F131" s="31"/>
      <c r="G131" s="195">
        <f t="shared" ref="G131:G136" si="11">SUM(D131:F131)</f>
        <v>0</v>
      </c>
      <c r="H131" s="185"/>
      <c r="I131" s="185"/>
      <c r="J131" s="185"/>
      <c r="K131" s="185"/>
      <c r="L131" s="185"/>
      <c r="M131" s="185"/>
      <c r="N131" s="185"/>
    </row>
    <row r="132" spans="1:16">
      <c r="A132" s="1854"/>
      <c r="B132" s="1855"/>
      <c r="C132" s="110">
        <v>2016</v>
      </c>
      <c r="D132" s="37"/>
      <c r="E132" s="38">
        <v>97</v>
      </c>
      <c r="F132" s="38"/>
      <c r="G132" s="195">
        <f t="shared" si="11"/>
        <v>97</v>
      </c>
      <c r="H132" s="185"/>
      <c r="I132" s="185"/>
      <c r="J132" s="185"/>
      <c r="K132" s="185"/>
      <c r="L132" s="185"/>
      <c r="M132" s="185"/>
      <c r="N132" s="185"/>
    </row>
    <row r="133" spans="1:16">
      <c r="A133" s="1854"/>
      <c r="B133" s="1855"/>
      <c r="C133" s="110">
        <v>2017</v>
      </c>
      <c r="D133" s="37"/>
      <c r="E133" s="38">
        <v>244</v>
      </c>
      <c r="F133" s="38"/>
      <c r="G133" s="195">
        <f t="shared" si="11"/>
        <v>244</v>
      </c>
      <c r="H133" s="185"/>
      <c r="I133" s="185"/>
      <c r="J133" s="185"/>
      <c r="K133" s="185"/>
      <c r="L133" s="185"/>
      <c r="M133" s="185"/>
      <c r="N133" s="185"/>
    </row>
    <row r="134" spans="1:16">
      <c r="A134" s="1854"/>
      <c r="B134" s="1855"/>
      <c r="C134" s="110">
        <v>2018</v>
      </c>
      <c r="D134" s="37"/>
      <c r="E134" s="38"/>
      <c r="F134" s="38"/>
      <c r="G134" s="195">
        <f t="shared" si="11"/>
        <v>0</v>
      </c>
      <c r="H134" s="185"/>
      <c r="I134" s="185"/>
      <c r="J134" s="185"/>
      <c r="K134" s="185"/>
      <c r="L134" s="185"/>
      <c r="M134" s="185"/>
      <c r="N134" s="185"/>
    </row>
    <row r="135" spans="1:16">
      <c r="A135" s="1854"/>
      <c r="B135" s="1855"/>
      <c r="C135" s="110">
        <v>2019</v>
      </c>
      <c r="D135" s="37"/>
      <c r="E135" s="38"/>
      <c r="F135" s="38"/>
      <c r="G135" s="195">
        <f t="shared" si="11"/>
        <v>0</v>
      </c>
      <c r="H135" s="185"/>
      <c r="I135" s="185"/>
      <c r="J135" s="185"/>
      <c r="K135" s="185"/>
      <c r="L135" s="185"/>
      <c r="M135" s="185"/>
      <c r="N135" s="185"/>
    </row>
    <row r="136" spans="1:16">
      <c r="A136" s="1854"/>
      <c r="B136" s="1855"/>
      <c r="C136" s="110">
        <v>2020</v>
      </c>
      <c r="D136" s="37"/>
      <c r="E136" s="38"/>
      <c r="F136" s="38"/>
      <c r="G136" s="195">
        <f t="shared" si="11"/>
        <v>0</v>
      </c>
      <c r="H136" s="185"/>
      <c r="I136" s="185"/>
      <c r="J136" s="185"/>
      <c r="K136" s="185"/>
      <c r="L136" s="185"/>
      <c r="M136" s="185"/>
      <c r="N136" s="185"/>
    </row>
    <row r="137" spans="1:16" ht="17.25" customHeight="1" thickBot="1">
      <c r="A137" s="1856"/>
      <c r="B137" s="1857"/>
      <c r="C137" s="113" t="s">
        <v>13</v>
      </c>
      <c r="D137" s="139">
        <f>SUM(D131:D136)</f>
        <v>0</v>
      </c>
      <c r="E137" s="139">
        <f t="shared" ref="E137:F137" si="12">SUM(E131:E136)</f>
        <v>341</v>
      </c>
      <c r="F137" s="139">
        <f t="shared" si="12"/>
        <v>0</v>
      </c>
      <c r="G137" s="196">
        <f>SUM(G131:G136)</f>
        <v>341</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409" t="s">
        <v>91</v>
      </c>
      <c r="B142" s="2402" t="s">
        <v>179</v>
      </c>
      <c r="C142" s="2404" t="s">
        <v>9</v>
      </c>
      <c r="D142" s="1555" t="s">
        <v>92</v>
      </c>
      <c r="E142" s="1556"/>
      <c r="F142" s="1556"/>
      <c r="G142" s="1556"/>
      <c r="H142" s="1556"/>
      <c r="I142" s="1557"/>
      <c r="J142" s="2396" t="s">
        <v>93</v>
      </c>
      <c r="K142" s="2397"/>
      <c r="L142" s="2397"/>
      <c r="M142" s="2397"/>
      <c r="N142" s="2398"/>
      <c r="O142" s="165"/>
      <c r="P142" s="165"/>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c r="B144" s="1899"/>
      <c r="C144" s="106">
        <v>2014</v>
      </c>
      <c r="D144" s="30"/>
      <c r="E144" s="30"/>
      <c r="F144" s="31"/>
      <c r="G144" s="175"/>
      <c r="H144" s="175"/>
      <c r="I144" s="213">
        <f>D144+F144+G144+H144</f>
        <v>0</v>
      </c>
      <c r="J144" s="214"/>
      <c r="K144" s="215"/>
      <c r="L144" s="214"/>
      <c r="M144" s="215"/>
      <c r="N144" s="216"/>
      <c r="O144" s="165"/>
      <c r="P144" s="165"/>
    </row>
    <row r="145" spans="1:16" ht="19.5" customHeight="1">
      <c r="A145" s="1891"/>
      <c r="B145" s="1899"/>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1891"/>
      <c r="B146" s="1899"/>
      <c r="C146" s="110">
        <v>2016</v>
      </c>
      <c r="D146" s="37"/>
      <c r="E146" s="37"/>
      <c r="F146" s="38"/>
      <c r="G146" s="178"/>
      <c r="H146" s="178"/>
      <c r="I146" s="213">
        <f t="shared" si="13"/>
        <v>0</v>
      </c>
      <c r="J146" s="217"/>
      <c r="K146" s="218"/>
      <c r="L146" s="217"/>
      <c r="M146" s="218"/>
      <c r="N146" s="219"/>
      <c r="O146" s="165"/>
      <c r="P146" s="165"/>
    </row>
    <row r="147" spans="1:16" ht="17.25" customHeight="1">
      <c r="A147" s="1891"/>
      <c r="B147" s="1899"/>
      <c r="C147" s="110">
        <v>2017</v>
      </c>
      <c r="D147" s="37"/>
      <c r="E147" s="37"/>
      <c r="F147" s="38"/>
      <c r="G147" s="178"/>
      <c r="H147" s="178"/>
      <c r="I147" s="213">
        <f t="shared" si="13"/>
        <v>0</v>
      </c>
      <c r="J147" s="217"/>
      <c r="K147" s="218"/>
      <c r="L147" s="217"/>
      <c r="M147" s="218"/>
      <c r="N147" s="219"/>
      <c r="O147" s="165"/>
      <c r="P147" s="165"/>
    </row>
    <row r="148" spans="1:16" ht="19.5" customHeight="1">
      <c r="A148" s="1891"/>
      <c r="B148" s="1899"/>
      <c r="C148" s="110">
        <v>2018</v>
      </c>
      <c r="D148" s="37"/>
      <c r="E148" s="37"/>
      <c r="F148" s="38"/>
      <c r="G148" s="178"/>
      <c r="H148" s="178"/>
      <c r="I148" s="213">
        <f t="shared" si="13"/>
        <v>0</v>
      </c>
      <c r="J148" s="217"/>
      <c r="K148" s="218"/>
      <c r="L148" s="217"/>
      <c r="M148" s="218"/>
      <c r="N148" s="219"/>
      <c r="O148" s="165"/>
      <c r="P148" s="165"/>
    </row>
    <row r="149" spans="1:16" ht="19.5" customHeight="1">
      <c r="A149" s="1891"/>
      <c r="B149" s="1899"/>
      <c r="C149" s="110">
        <v>2019</v>
      </c>
      <c r="D149" s="37"/>
      <c r="E149" s="37"/>
      <c r="F149" s="38"/>
      <c r="G149" s="178"/>
      <c r="H149" s="178"/>
      <c r="I149" s="213">
        <f t="shared" si="13"/>
        <v>0</v>
      </c>
      <c r="J149" s="217"/>
      <c r="K149" s="218"/>
      <c r="L149" s="217"/>
      <c r="M149" s="218"/>
      <c r="N149" s="219"/>
      <c r="O149" s="165"/>
      <c r="P149" s="165"/>
    </row>
    <row r="150" spans="1:16" ht="18.75" customHeight="1">
      <c r="A150" s="1891"/>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2400" t="s">
        <v>105</v>
      </c>
      <c r="B153" s="2402" t="s">
        <v>179</v>
      </c>
      <c r="C153" s="2403" t="s">
        <v>9</v>
      </c>
      <c r="D153" s="1563" t="s">
        <v>106</v>
      </c>
      <c r="E153" s="1563"/>
      <c r="F153" s="1564"/>
      <c r="G153" s="1564"/>
      <c r="H153" s="1563" t="s">
        <v>107</v>
      </c>
      <c r="I153" s="1563"/>
      <c r="J153" s="1565"/>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1898"/>
      <c r="B155" s="1899"/>
      <c r="C155" s="233">
        <v>2014</v>
      </c>
      <c r="D155" s="214"/>
      <c r="E155" s="175"/>
      <c r="F155" s="215"/>
      <c r="G155" s="213">
        <f>SUM(D155:F155)</f>
        <v>0</v>
      </c>
      <c r="H155" s="214"/>
      <c r="I155" s="175"/>
      <c r="J155" s="176"/>
      <c r="O155" s="165"/>
      <c r="P155" s="165"/>
    </row>
    <row r="156" spans="1:16" ht="19.5" customHeight="1">
      <c r="A156" s="1891"/>
      <c r="B156" s="1899"/>
      <c r="C156" s="234">
        <v>2015</v>
      </c>
      <c r="D156" s="217"/>
      <c r="E156" s="178"/>
      <c r="F156" s="218"/>
      <c r="G156" s="213">
        <f t="shared" ref="G156:G161" si="15">SUM(D156:F156)</f>
        <v>0</v>
      </c>
      <c r="H156" s="217"/>
      <c r="I156" s="178"/>
      <c r="J156" s="179"/>
      <c r="O156" s="165"/>
      <c r="P156" s="165"/>
    </row>
    <row r="157" spans="1:16" ht="17.25" customHeight="1">
      <c r="A157" s="1891"/>
      <c r="B157" s="1899"/>
      <c r="C157" s="234">
        <v>2016</v>
      </c>
      <c r="D157" s="217"/>
      <c r="E157" s="178"/>
      <c r="F157" s="218"/>
      <c r="G157" s="213">
        <f t="shared" si="15"/>
        <v>0</v>
      </c>
      <c r="H157" s="217"/>
      <c r="I157" s="178"/>
      <c r="J157" s="179"/>
      <c r="O157" s="165"/>
      <c r="P157" s="165"/>
    </row>
    <row r="158" spans="1:16" ht="15" customHeight="1">
      <c r="A158" s="1891"/>
      <c r="B158" s="1899"/>
      <c r="C158" s="234">
        <v>2017</v>
      </c>
      <c r="D158" s="217"/>
      <c r="E158" s="178"/>
      <c r="F158" s="218"/>
      <c r="G158" s="213">
        <f t="shared" si="15"/>
        <v>0</v>
      </c>
      <c r="H158" s="217"/>
      <c r="I158" s="178"/>
      <c r="J158" s="179"/>
      <c r="O158" s="165"/>
      <c r="P158" s="165"/>
    </row>
    <row r="159" spans="1:16" ht="19.5" customHeight="1">
      <c r="A159" s="1891"/>
      <c r="B159" s="1899"/>
      <c r="C159" s="234">
        <v>2018</v>
      </c>
      <c r="D159" s="217"/>
      <c r="E159" s="178"/>
      <c r="F159" s="218"/>
      <c r="G159" s="213">
        <f t="shared" si="15"/>
        <v>0</v>
      </c>
      <c r="H159" s="217"/>
      <c r="I159" s="178"/>
      <c r="J159" s="179"/>
      <c r="O159" s="165"/>
      <c r="P159" s="165"/>
    </row>
    <row r="160" spans="1:16" ht="15" customHeight="1">
      <c r="A160" s="1891"/>
      <c r="B160" s="1899"/>
      <c r="C160" s="234">
        <v>2019</v>
      </c>
      <c r="D160" s="217"/>
      <c r="E160" s="178"/>
      <c r="F160" s="218"/>
      <c r="G160" s="213">
        <f t="shared" si="15"/>
        <v>0</v>
      </c>
      <c r="H160" s="217"/>
      <c r="I160" s="178"/>
      <c r="J160" s="179"/>
      <c r="O160" s="165"/>
      <c r="P160" s="165"/>
    </row>
    <row r="161" spans="1:18" ht="17.25" customHeight="1">
      <c r="A161" s="1891"/>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1566"/>
      <c r="F163" s="165"/>
      <c r="G163" s="165"/>
      <c r="H163" s="165"/>
      <c r="I163" s="165"/>
      <c r="J163" s="241"/>
      <c r="K163" s="242"/>
    </row>
    <row r="164" spans="1:18" ht="95.25" customHeight="1">
      <c r="A164" s="243" t="s">
        <v>115</v>
      </c>
      <c r="B164" s="405" t="s">
        <v>181</v>
      </c>
      <c r="C164" s="1567" t="s">
        <v>9</v>
      </c>
      <c r="D164" s="246" t="s">
        <v>117</v>
      </c>
      <c r="E164" s="246" t="s">
        <v>118</v>
      </c>
      <c r="F164" s="1568" t="s">
        <v>119</v>
      </c>
      <c r="G164" s="246" t="s">
        <v>120</v>
      </c>
      <c r="H164" s="246" t="s">
        <v>121</v>
      </c>
      <c r="I164" s="248" t="s">
        <v>122</v>
      </c>
      <c r="J164" s="249" t="s">
        <v>123</v>
      </c>
      <c r="K164" s="249" t="s">
        <v>124</v>
      </c>
      <c r="L164" s="1531"/>
    </row>
    <row r="165" spans="1:18" ht="15.75" customHeight="1">
      <c r="A165" s="1878"/>
      <c r="B165" s="1879"/>
      <c r="C165" s="251">
        <v>2014</v>
      </c>
      <c r="D165" s="175"/>
      <c r="E165" s="175"/>
      <c r="F165" s="175"/>
      <c r="G165" s="175"/>
      <c r="H165" s="175"/>
      <c r="I165" s="176"/>
      <c r="J165" s="252">
        <f>SUM(D165,F165,H165)</f>
        <v>0</v>
      </c>
      <c r="K165" s="253">
        <f>SUM(E165,G165,I165)</f>
        <v>0</v>
      </c>
      <c r="L165" s="1531"/>
    </row>
    <row r="166" spans="1:18">
      <c r="A166" s="1880"/>
      <c r="B166" s="1881"/>
      <c r="C166" s="254">
        <v>2015</v>
      </c>
      <c r="D166" s="255"/>
      <c r="E166" s="255"/>
      <c r="F166" s="255"/>
      <c r="G166" s="255"/>
      <c r="H166" s="255"/>
      <c r="I166" s="256"/>
      <c r="J166" s="407">
        <f t="shared" ref="J166:K171" si="17">SUM(D166,F166,H166)</f>
        <v>0</v>
      </c>
      <c r="K166" s="408">
        <f t="shared" si="17"/>
        <v>0</v>
      </c>
      <c r="L166" s="1531"/>
    </row>
    <row r="167" spans="1:18">
      <c r="A167" s="1880"/>
      <c r="B167" s="1881"/>
      <c r="C167" s="254">
        <v>2016</v>
      </c>
      <c r="D167" s="255"/>
      <c r="E167" s="255"/>
      <c r="F167" s="255"/>
      <c r="G167" s="255"/>
      <c r="H167" s="255"/>
      <c r="I167" s="256"/>
      <c r="J167" s="407">
        <f t="shared" si="17"/>
        <v>0</v>
      </c>
      <c r="K167" s="408">
        <f t="shared" si="17"/>
        <v>0</v>
      </c>
    </row>
    <row r="168" spans="1:18">
      <c r="A168" s="1880"/>
      <c r="B168" s="1881"/>
      <c r="C168" s="254">
        <v>2017</v>
      </c>
      <c r="D168" s="255"/>
      <c r="E168" s="165"/>
      <c r="F168" s="255"/>
      <c r="G168" s="255"/>
      <c r="H168" s="255"/>
      <c r="I168" s="256"/>
      <c r="J168" s="407">
        <f t="shared" si="17"/>
        <v>0</v>
      </c>
      <c r="K168" s="408">
        <f t="shared" si="17"/>
        <v>0</v>
      </c>
    </row>
    <row r="169" spans="1:18">
      <c r="A169" s="1880"/>
      <c r="B169" s="1881"/>
      <c r="C169" s="262">
        <v>2018</v>
      </c>
      <c r="D169" s="255"/>
      <c r="E169" s="255"/>
      <c r="F169" s="255"/>
      <c r="G169" s="263"/>
      <c r="H169" s="255"/>
      <c r="I169" s="256"/>
      <c r="J169" s="407">
        <f t="shared" si="17"/>
        <v>0</v>
      </c>
      <c r="K169" s="408">
        <f t="shared" si="17"/>
        <v>0</v>
      </c>
      <c r="L169" s="1531"/>
    </row>
    <row r="170" spans="1:18">
      <c r="A170" s="1880"/>
      <c r="B170" s="1881"/>
      <c r="C170" s="254">
        <v>2019</v>
      </c>
      <c r="D170" s="165"/>
      <c r="E170" s="255"/>
      <c r="F170" s="255"/>
      <c r="G170" s="255"/>
      <c r="H170" s="263"/>
      <c r="I170" s="256"/>
      <c r="J170" s="407">
        <f t="shared" si="17"/>
        <v>0</v>
      </c>
      <c r="K170" s="408">
        <f t="shared" si="17"/>
        <v>0</v>
      </c>
      <c r="L170" s="1531"/>
    </row>
    <row r="171" spans="1:18">
      <c r="A171" s="1880"/>
      <c r="B171" s="1881"/>
      <c r="C171" s="262">
        <v>2020</v>
      </c>
      <c r="D171" s="255"/>
      <c r="E171" s="255"/>
      <c r="F171" s="255"/>
      <c r="G171" s="255"/>
      <c r="H171" s="255"/>
      <c r="I171" s="256"/>
      <c r="J171" s="407">
        <f t="shared" si="17"/>
        <v>0</v>
      </c>
      <c r="K171" s="408">
        <f t="shared" si="17"/>
        <v>0</v>
      </c>
      <c r="L171" s="1531"/>
    </row>
    <row r="172" spans="1:18" ht="41.25" customHeight="1" thickBot="1">
      <c r="A172" s="1882"/>
      <c r="B172" s="1883"/>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1531"/>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389" t="s">
        <v>127</v>
      </c>
      <c r="B176" s="2380" t="s">
        <v>182</v>
      </c>
      <c r="C176" s="2391" t="s">
        <v>9</v>
      </c>
      <c r="D176" s="273" t="s">
        <v>128</v>
      </c>
      <c r="E176" s="1572"/>
      <c r="F176" s="1572"/>
      <c r="G176" s="1573"/>
      <c r="H176" s="276"/>
      <c r="I176" s="1888" t="s">
        <v>129</v>
      </c>
      <c r="J176" s="2393"/>
      <c r="K176" s="2393"/>
      <c r="L176" s="2393"/>
      <c r="M176" s="2393"/>
      <c r="N176" s="2393"/>
      <c r="O176" s="2394"/>
    </row>
    <row r="177" spans="1:15" s="56" customFormat="1" ht="129.7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1898" t="s">
        <v>442</v>
      </c>
      <c r="B178" s="2218"/>
      <c r="C178" s="106">
        <v>2014</v>
      </c>
      <c r="D178" s="30"/>
      <c r="E178" s="31"/>
      <c r="F178" s="31"/>
      <c r="G178" s="284">
        <f>SUM(D178:F178)</f>
        <v>0</v>
      </c>
      <c r="H178" s="155"/>
      <c r="I178" s="155"/>
      <c r="J178" s="31"/>
      <c r="K178" s="31"/>
      <c r="L178" s="31"/>
      <c r="M178" s="31"/>
      <c r="N178" s="31"/>
      <c r="O178" s="34"/>
    </row>
    <row r="179" spans="1:15">
      <c r="A179" s="1891"/>
      <c r="B179" s="2218"/>
      <c r="C179" s="110">
        <v>2015</v>
      </c>
      <c r="D179" s="37"/>
      <c r="E179" s="38"/>
      <c r="F179" s="38"/>
      <c r="G179" s="284">
        <f t="shared" ref="G179:G184" si="19">SUM(D179:F179)</f>
        <v>0</v>
      </c>
      <c r="H179" s="411"/>
      <c r="I179" s="112"/>
      <c r="J179" s="38"/>
      <c r="K179" s="38"/>
      <c r="L179" s="38"/>
      <c r="M179" s="38"/>
      <c r="N179" s="38"/>
      <c r="O179" s="88"/>
    </row>
    <row r="180" spans="1:15">
      <c r="A180" s="1891"/>
      <c r="B180" s="2218"/>
      <c r="C180" s="110">
        <v>2016</v>
      </c>
      <c r="D180" s="37">
        <v>18</v>
      </c>
      <c r="E180" s="38"/>
      <c r="F180" s="38">
        <v>1</v>
      </c>
      <c r="G180" s="284">
        <f t="shared" si="19"/>
        <v>19</v>
      </c>
      <c r="H180" s="411">
        <v>19</v>
      </c>
      <c r="I180" s="112">
        <v>19</v>
      </c>
      <c r="J180" s="38"/>
      <c r="K180" s="38"/>
      <c r="L180" s="38"/>
      <c r="M180" s="38"/>
      <c r="N180" s="38"/>
      <c r="O180" s="88"/>
    </row>
    <row r="181" spans="1:15">
      <c r="A181" s="1891"/>
      <c r="B181" s="2218"/>
      <c r="C181" s="110">
        <v>2017</v>
      </c>
      <c r="D181" s="37">
        <v>6</v>
      </c>
      <c r="E181" s="38"/>
      <c r="F181" s="38"/>
      <c r="G181" s="284">
        <f t="shared" si="19"/>
        <v>6</v>
      </c>
      <c r="H181" s="411">
        <v>6</v>
      </c>
      <c r="I181" s="112">
        <v>6</v>
      </c>
      <c r="J181" s="38"/>
      <c r="K181" s="38"/>
      <c r="L181" s="38"/>
      <c r="M181" s="38"/>
      <c r="N181" s="38"/>
      <c r="O181" s="88"/>
    </row>
    <row r="182" spans="1:15">
      <c r="A182" s="1891"/>
      <c r="B182" s="2218"/>
      <c r="C182" s="110">
        <v>2018</v>
      </c>
      <c r="D182" s="37"/>
      <c r="E182" s="38"/>
      <c r="F182" s="38"/>
      <c r="G182" s="284">
        <f t="shared" si="19"/>
        <v>0</v>
      </c>
      <c r="H182" s="411"/>
      <c r="I182" s="112"/>
      <c r="J182" s="38"/>
      <c r="K182" s="38"/>
      <c r="L182" s="38"/>
      <c r="M182" s="38"/>
      <c r="N182" s="38"/>
      <c r="O182" s="88"/>
    </row>
    <row r="183" spans="1:15">
      <c r="A183" s="1891"/>
      <c r="B183" s="2218"/>
      <c r="C183" s="110">
        <v>2019</v>
      </c>
      <c r="D183" s="37"/>
      <c r="E183" s="38"/>
      <c r="F183" s="38"/>
      <c r="G183" s="284">
        <f t="shared" si="19"/>
        <v>0</v>
      </c>
      <c r="H183" s="411"/>
      <c r="I183" s="112"/>
      <c r="J183" s="38"/>
      <c r="K183" s="38"/>
      <c r="L183" s="38"/>
      <c r="M183" s="38"/>
      <c r="N183" s="38"/>
      <c r="O183" s="88"/>
    </row>
    <row r="184" spans="1:15">
      <c r="A184" s="1891"/>
      <c r="B184" s="2218"/>
      <c r="C184" s="110">
        <v>2020</v>
      </c>
      <c r="D184" s="37"/>
      <c r="E184" s="38"/>
      <c r="F184" s="38"/>
      <c r="G184" s="284">
        <f t="shared" si="19"/>
        <v>0</v>
      </c>
      <c r="H184" s="411"/>
      <c r="I184" s="112"/>
      <c r="J184" s="38"/>
      <c r="K184" s="38"/>
      <c r="L184" s="38"/>
      <c r="M184" s="38"/>
      <c r="N184" s="38"/>
      <c r="O184" s="88"/>
    </row>
    <row r="185" spans="1:15" ht="45" customHeight="1" thickBot="1">
      <c r="A185" s="1893"/>
      <c r="B185" s="2219"/>
      <c r="C185" s="113" t="s">
        <v>13</v>
      </c>
      <c r="D185" s="139">
        <f>SUM(D178:D184)</f>
        <v>24</v>
      </c>
      <c r="E185" s="116">
        <f>SUM(E178:E184)</f>
        <v>0</v>
      </c>
      <c r="F185" s="116">
        <f>SUM(F178:F184)</f>
        <v>1</v>
      </c>
      <c r="G185" s="220">
        <f t="shared" ref="G185:O185" si="20">SUM(G178:G184)</f>
        <v>25</v>
      </c>
      <c r="H185" s="285">
        <f t="shared" si="20"/>
        <v>25</v>
      </c>
      <c r="I185" s="115">
        <f t="shared" si="20"/>
        <v>25</v>
      </c>
      <c r="J185" s="116">
        <f t="shared" si="20"/>
        <v>0</v>
      </c>
      <c r="K185" s="116">
        <f t="shared" si="20"/>
        <v>0</v>
      </c>
      <c r="L185" s="116">
        <f t="shared" si="20"/>
        <v>0</v>
      </c>
      <c r="M185" s="116">
        <f t="shared" si="20"/>
        <v>0</v>
      </c>
      <c r="N185" s="116">
        <f t="shared" si="20"/>
        <v>0</v>
      </c>
      <c r="O185" s="117">
        <f t="shared" si="20"/>
        <v>0</v>
      </c>
    </row>
    <row r="186" spans="1:15" ht="33" customHeight="1" thickBot="1"/>
    <row r="187" spans="1:15" ht="19.5" customHeight="1">
      <c r="A187" s="1861" t="s">
        <v>137</v>
      </c>
      <c r="B187" s="2380" t="s">
        <v>182</v>
      </c>
      <c r="C187" s="1865" t="s">
        <v>9</v>
      </c>
      <c r="D187" s="1867" t="s">
        <v>138</v>
      </c>
      <c r="E187" s="2381"/>
      <c r="F187" s="2381"/>
      <c r="G187" s="1869"/>
      <c r="H187" s="1870"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1872" t="s">
        <v>443</v>
      </c>
      <c r="B189" s="1977"/>
      <c r="C189" s="290">
        <v>2014</v>
      </c>
      <c r="D189" s="133"/>
      <c r="E189" s="109"/>
      <c r="F189" s="109"/>
      <c r="G189" s="291">
        <f>SUM(D189:F189)</f>
        <v>0</v>
      </c>
      <c r="H189" s="108"/>
      <c r="I189" s="109"/>
      <c r="J189" s="109"/>
      <c r="K189" s="109"/>
      <c r="L189" s="134"/>
    </row>
    <row r="190" spans="1:15">
      <c r="A190" s="1978"/>
      <c r="B190" s="1855"/>
      <c r="C190" s="73">
        <v>2015</v>
      </c>
      <c r="D190" s="37"/>
      <c r="E190" s="38"/>
      <c r="F190" s="38"/>
      <c r="G190" s="291">
        <f t="shared" ref="G190:G195" si="21">SUM(D190:F190)</f>
        <v>0</v>
      </c>
      <c r="H190" s="112"/>
      <c r="I190" s="38"/>
      <c r="J190" s="38"/>
      <c r="K190" s="38"/>
      <c r="L190" s="88"/>
    </row>
    <row r="191" spans="1:15">
      <c r="A191" s="1978"/>
      <c r="B191" s="1855"/>
      <c r="C191" s="73">
        <v>2016</v>
      </c>
      <c r="D191" s="37">
        <v>481</v>
      </c>
      <c r="E191" s="38"/>
      <c r="F191" s="38">
        <v>4</v>
      </c>
      <c r="G191" s="291">
        <f t="shared" si="21"/>
        <v>485</v>
      </c>
      <c r="H191" s="112"/>
      <c r="I191" s="38"/>
      <c r="J191" s="38">
        <v>4</v>
      </c>
      <c r="K191" s="38">
        <v>481</v>
      </c>
      <c r="L191" s="88"/>
    </row>
    <row r="192" spans="1:15">
      <c r="A192" s="1978"/>
      <c r="B192" s="1855"/>
      <c r="C192" s="73">
        <v>2017</v>
      </c>
      <c r="D192" s="37">
        <v>182</v>
      </c>
      <c r="E192" s="38"/>
      <c r="F192" s="38"/>
      <c r="G192" s="291">
        <f t="shared" si="21"/>
        <v>182</v>
      </c>
      <c r="H192" s="112"/>
      <c r="I192" s="38"/>
      <c r="J192" s="38">
        <v>5</v>
      </c>
      <c r="K192" s="38">
        <v>177</v>
      </c>
      <c r="L192" s="88"/>
    </row>
    <row r="193" spans="1:14">
      <c r="A193" s="1978"/>
      <c r="B193" s="1855"/>
      <c r="C193" s="73">
        <v>2018</v>
      </c>
      <c r="D193" s="37"/>
      <c r="E193" s="38"/>
      <c r="F193" s="38"/>
      <c r="G193" s="291">
        <f t="shared" si="21"/>
        <v>0</v>
      </c>
      <c r="H193" s="112"/>
      <c r="I193" s="38"/>
      <c r="J193" s="38"/>
      <c r="K193" s="38"/>
      <c r="L193" s="88"/>
    </row>
    <row r="194" spans="1:14">
      <c r="A194" s="1978"/>
      <c r="B194" s="1855"/>
      <c r="C194" s="73">
        <v>2019</v>
      </c>
      <c r="D194" s="37"/>
      <c r="E194" s="38"/>
      <c r="F194" s="38"/>
      <c r="G194" s="291">
        <f t="shared" si="21"/>
        <v>0</v>
      </c>
      <c r="H194" s="112"/>
      <c r="I194" s="38"/>
      <c r="J194" s="38"/>
      <c r="K194" s="38"/>
      <c r="L194" s="88"/>
    </row>
    <row r="195" spans="1:14">
      <c r="A195" s="1978"/>
      <c r="B195" s="1855"/>
      <c r="C195" s="73">
        <v>2020</v>
      </c>
      <c r="D195" s="37"/>
      <c r="E195" s="38"/>
      <c r="F195" s="38"/>
      <c r="G195" s="291">
        <f t="shared" si="21"/>
        <v>0</v>
      </c>
      <c r="H195" s="112"/>
      <c r="I195" s="38"/>
      <c r="J195" s="38"/>
      <c r="K195" s="38"/>
      <c r="L195" s="88"/>
    </row>
    <row r="196" spans="1:14" ht="15.75" thickBot="1">
      <c r="A196" s="1979"/>
      <c r="B196" s="1857"/>
      <c r="C196" s="136" t="s">
        <v>13</v>
      </c>
      <c r="D196" s="139">
        <f t="shared" ref="D196:L196" si="22">SUM(D189:D195)</f>
        <v>663</v>
      </c>
      <c r="E196" s="116">
        <v>0</v>
      </c>
      <c r="F196" s="116">
        <v>4</v>
      </c>
      <c r="G196" s="292">
        <f t="shared" si="22"/>
        <v>667</v>
      </c>
      <c r="H196" s="115">
        <f t="shared" si="22"/>
        <v>0</v>
      </c>
      <c r="I196" s="116">
        <f t="shared" si="22"/>
        <v>0</v>
      </c>
      <c r="J196" s="116">
        <f t="shared" si="22"/>
        <v>9</v>
      </c>
      <c r="K196" s="116">
        <f t="shared" si="22"/>
        <v>658</v>
      </c>
      <c r="L196" s="117">
        <f t="shared" si="22"/>
        <v>0</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1574" t="s">
        <v>150</v>
      </c>
      <c r="B201" s="417" t="s">
        <v>182</v>
      </c>
      <c r="C201" s="298" t="s">
        <v>9</v>
      </c>
      <c r="D201" s="299" t="s">
        <v>151</v>
      </c>
      <c r="E201" s="300" t="s">
        <v>152</v>
      </c>
      <c r="F201" s="300" t="s">
        <v>153</v>
      </c>
      <c r="G201" s="298" t="s">
        <v>154</v>
      </c>
      <c r="H201" s="1575" t="s">
        <v>155</v>
      </c>
      <c r="I201" s="302" t="s">
        <v>156</v>
      </c>
      <c r="J201" s="303" t="s">
        <v>157</v>
      </c>
      <c r="K201" s="300" t="s">
        <v>158</v>
      </c>
      <c r="L201" s="304" t="s">
        <v>159</v>
      </c>
    </row>
    <row r="202" spans="1:14" ht="15" customHeight="1">
      <c r="A202" s="1854"/>
      <c r="B202" s="1855"/>
      <c r="C202" s="72">
        <v>2014</v>
      </c>
      <c r="D202" s="30"/>
      <c r="E202" s="31"/>
      <c r="F202" s="31"/>
      <c r="G202" s="29"/>
      <c r="H202" s="305"/>
      <c r="I202" s="306"/>
      <c r="J202" s="307"/>
      <c r="K202" s="31"/>
      <c r="L202" s="34"/>
    </row>
    <row r="203" spans="1:14">
      <c r="A203" s="1854"/>
      <c r="B203" s="1855"/>
      <c r="C203" s="73">
        <v>2015</v>
      </c>
      <c r="D203" s="37"/>
      <c r="E203" s="38"/>
      <c r="F203" s="38"/>
      <c r="G203" s="36"/>
      <c r="H203" s="308"/>
      <c r="I203" s="309"/>
      <c r="J203" s="310"/>
      <c r="K203" s="38"/>
      <c r="L203" s="88"/>
    </row>
    <row r="204" spans="1:14">
      <c r="A204" s="1854"/>
      <c r="B204" s="1855"/>
      <c r="C204" s="73">
        <v>2016</v>
      </c>
      <c r="D204" s="37"/>
      <c r="E204" s="38"/>
      <c r="F204" s="38"/>
      <c r="G204" s="36"/>
      <c r="H204" s="308"/>
      <c r="I204" s="309"/>
      <c r="J204" s="310"/>
      <c r="K204" s="38"/>
      <c r="L204" s="88"/>
    </row>
    <row r="205" spans="1:14">
      <c r="A205" s="1854"/>
      <c r="B205" s="1855"/>
      <c r="C205" s="73">
        <v>2017</v>
      </c>
      <c r="D205" s="37"/>
      <c r="E205" s="38"/>
      <c r="F205" s="38"/>
      <c r="G205" s="36"/>
      <c r="H205" s="308"/>
      <c r="I205" s="309"/>
      <c r="J205" s="310"/>
      <c r="K205" s="38"/>
      <c r="L205" s="88"/>
    </row>
    <row r="206" spans="1:14">
      <c r="A206" s="1854"/>
      <c r="B206" s="1855"/>
      <c r="C206" s="73">
        <v>2018</v>
      </c>
      <c r="D206" s="37"/>
      <c r="E206" s="38"/>
      <c r="F206" s="38"/>
      <c r="G206" s="36"/>
      <c r="H206" s="308"/>
      <c r="I206" s="309"/>
      <c r="J206" s="310"/>
      <c r="K206" s="38"/>
      <c r="L206" s="88"/>
    </row>
    <row r="207" spans="1:14">
      <c r="A207" s="1854"/>
      <c r="B207" s="1855"/>
      <c r="C207" s="73">
        <v>2019</v>
      </c>
      <c r="D207" s="37"/>
      <c r="E207" s="38"/>
      <c r="F207" s="38"/>
      <c r="G207" s="36"/>
      <c r="H207" s="308"/>
      <c r="I207" s="309"/>
      <c r="J207" s="310"/>
      <c r="K207" s="38"/>
      <c r="L207" s="88"/>
    </row>
    <row r="208" spans="1:14">
      <c r="A208" s="1854"/>
      <c r="B208" s="1855"/>
      <c r="C208" s="73">
        <v>2020</v>
      </c>
      <c r="D208" s="1533"/>
      <c r="E208" s="312"/>
      <c r="F208" s="312"/>
      <c r="G208" s="313"/>
      <c r="H208" s="314"/>
      <c r="I208" s="315"/>
      <c r="J208" s="316"/>
      <c r="K208" s="312"/>
      <c r="L208" s="317"/>
    </row>
    <row r="209" spans="1:12" ht="20.25" customHeight="1" thickBot="1">
      <c r="A209" s="1856"/>
      <c r="B209" s="1857"/>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0</v>
      </c>
      <c r="K209" s="139">
        <f t="shared" si="23"/>
        <v>0</v>
      </c>
      <c r="L209" s="139">
        <f t="shared" si="23"/>
        <v>0</v>
      </c>
    </row>
    <row r="211" spans="1:12" ht="15.75" thickBot="1"/>
    <row r="212" spans="1:12" ht="29.25">
      <c r="A212" s="1576" t="s">
        <v>161</v>
      </c>
      <c r="B212" s="322" t="s">
        <v>162</v>
      </c>
      <c r="C212" s="323">
        <v>2014</v>
      </c>
      <c r="D212" s="324">
        <v>2015</v>
      </c>
      <c r="E212" s="324">
        <v>2016</v>
      </c>
      <c r="F212" s="324">
        <v>2017</v>
      </c>
      <c r="G212" s="324">
        <v>2018</v>
      </c>
      <c r="H212" s="324">
        <v>2019</v>
      </c>
      <c r="I212" s="325">
        <v>2020</v>
      </c>
    </row>
    <row r="213" spans="1:12">
      <c r="A213" t="s">
        <v>163</v>
      </c>
      <c r="B213" s="1986" t="s">
        <v>444</v>
      </c>
      <c r="C213" s="72"/>
      <c r="D213" s="135">
        <v>49246.74</v>
      </c>
      <c r="E213" s="439">
        <v>218233.32</v>
      </c>
      <c r="F213" s="135">
        <v>121378.25</v>
      </c>
      <c r="G213" s="135"/>
      <c r="H213" s="135"/>
      <c r="I213" s="326"/>
    </row>
    <row r="214" spans="1:12">
      <c r="A214" t="s">
        <v>164</v>
      </c>
      <c r="B214" s="1984"/>
      <c r="C214" s="72"/>
      <c r="D214" s="135">
        <v>36924.910000000003</v>
      </c>
      <c r="E214" s="439">
        <v>218233.32</v>
      </c>
      <c r="F214" s="135">
        <v>121378.25</v>
      </c>
      <c r="G214" s="135"/>
      <c r="H214" s="135"/>
      <c r="I214" s="326"/>
    </row>
    <row r="215" spans="1:12">
      <c r="A215" t="s">
        <v>165</v>
      </c>
      <c r="B215" s="1984"/>
      <c r="C215" s="72"/>
      <c r="D215" s="135">
        <v>0</v>
      </c>
      <c r="E215" s="439">
        <v>0</v>
      </c>
      <c r="F215" s="135">
        <v>0</v>
      </c>
      <c r="G215" s="135"/>
      <c r="H215" s="135"/>
      <c r="I215" s="326"/>
    </row>
    <row r="216" spans="1:12">
      <c r="A216" t="s">
        <v>166</v>
      </c>
      <c r="B216" s="1984"/>
      <c r="C216" s="72"/>
      <c r="D216" s="135">
        <v>12321.83</v>
      </c>
      <c r="E216" s="439">
        <v>0</v>
      </c>
      <c r="F216" s="135">
        <v>0</v>
      </c>
      <c r="G216" s="135"/>
      <c r="H216" s="135"/>
      <c r="I216" s="326"/>
    </row>
    <row r="217" spans="1:12">
      <c r="A217" t="s">
        <v>167</v>
      </c>
      <c r="B217" s="1984"/>
      <c r="C217" s="72"/>
      <c r="D217" s="135">
        <v>0</v>
      </c>
      <c r="E217" s="439">
        <v>0</v>
      </c>
      <c r="F217" s="135">
        <v>0</v>
      </c>
      <c r="G217" s="135"/>
      <c r="H217" s="135"/>
      <c r="I217" s="326"/>
    </row>
    <row r="218" spans="1:12" ht="30">
      <c r="A218" s="56" t="s">
        <v>168</v>
      </c>
      <c r="B218" s="1984"/>
      <c r="C218" s="72"/>
      <c r="D218" s="135">
        <v>57153.440000000002</v>
      </c>
      <c r="E218" s="439">
        <v>148128.01999999999</v>
      </c>
      <c r="F218" s="135">
        <v>98784.88</v>
      </c>
      <c r="G218" s="135"/>
      <c r="H218" s="135"/>
      <c r="I218" s="326"/>
    </row>
    <row r="219" spans="1:12" ht="50.25" customHeight="1" thickBot="1">
      <c r="A219" s="1532"/>
      <c r="B219" s="1985"/>
      <c r="C219" s="42" t="s">
        <v>13</v>
      </c>
      <c r="D219" s="333">
        <v>106400.18</v>
      </c>
      <c r="E219" s="421">
        <v>366361.34</v>
      </c>
      <c r="F219" s="333">
        <v>220163.13</v>
      </c>
      <c r="G219" s="333">
        <f t="shared" ref="G219:I219" si="24">SUM(G214:G218)</f>
        <v>0</v>
      </c>
      <c r="H219" s="333">
        <f t="shared" si="24"/>
        <v>0</v>
      </c>
      <c r="I219" s="333">
        <f t="shared" si="24"/>
        <v>0</v>
      </c>
    </row>
    <row r="220" spans="1:12">
      <c r="E220" s="514" t="s">
        <v>445</v>
      </c>
    </row>
    <row r="227" spans="1:1">
      <c r="A227" s="56"/>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7"/>
  <sheetViews>
    <sheetView topLeftCell="C10" workbookViewId="0">
      <selection activeCell="D219" sqref="D219:F219"/>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446</v>
      </c>
      <c r="C1" s="1944"/>
      <c r="D1" s="1944"/>
      <c r="E1" s="1944"/>
      <c r="F1" s="1944"/>
    </row>
    <row r="2" spans="1:25" s="1" customFormat="1" ht="20.100000000000001" customHeight="1" thickBot="1"/>
    <row r="3" spans="1:25" s="4" customFormat="1" ht="20.100000000000001" customHeight="1">
      <c r="A3" s="1584" t="s">
        <v>2</v>
      </c>
      <c r="B3" s="1585"/>
      <c r="C3" s="1585"/>
      <c r="D3" s="1585"/>
      <c r="E3" s="1585"/>
      <c r="F3" s="2418"/>
      <c r="G3" s="2418"/>
      <c r="H3" s="2418"/>
      <c r="I3" s="2418"/>
      <c r="J3" s="2418"/>
      <c r="K3" s="2418"/>
      <c r="L3" s="2418"/>
      <c r="M3" s="2418"/>
      <c r="N3" s="2418"/>
      <c r="O3" s="2419"/>
    </row>
    <row r="4" spans="1:25" s="4" customFormat="1" ht="20.100000000000001" customHeight="1">
      <c r="A4" s="2420" t="s">
        <v>170</v>
      </c>
      <c r="B4" s="1948"/>
      <c r="C4" s="1948"/>
      <c r="D4" s="1948"/>
      <c r="E4" s="1948"/>
      <c r="F4" s="1948"/>
      <c r="G4" s="1948"/>
      <c r="H4" s="1948"/>
      <c r="I4" s="1948"/>
      <c r="J4" s="1948"/>
      <c r="K4" s="1948"/>
      <c r="L4" s="1948"/>
      <c r="M4" s="1948"/>
      <c r="N4" s="1948"/>
      <c r="O4" s="1949"/>
    </row>
    <row r="5" spans="1:25" s="4" customFormat="1" ht="20.100000000000001" customHeight="1">
      <c r="A5" s="2420"/>
      <c r="B5" s="1948"/>
      <c r="C5" s="1948"/>
      <c r="D5" s="1948"/>
      <c r="E5" s="1948"/>
      <c r="F5" s="1948"/>
      <c r="G5" s="1948"/>
      <c r="H5" s="1948"/>
      <c r="I5" s="1948"/>
      <c r="J5" s="1948"/>
      <c r="K5" s="1948"/>
      <c r="L5" s="1948"/>
      <c r="M5" s="1948"/>
      <c r="N5" s="1948"/>
      <c r="O5" s="1949"/>
    </row>
    <row r="6" spans="1:25" s="4" customFormat="1" ht="20.100000000000001" customHeight="1">
      <c r="A6" s="2420"/>
      <c r="B6" s="1948"/>
      <c r="C6" s="1948"/>
      <c r="D6" s="1948"/>
      <c r="E6" s="1948"/>
      <c r="F6" s="1948"/>
      <c r="G6" s="1948"/>
      <c r="H6" s="1948"/>
      <c r="I6" s="1948"/>
      <c r="J6" s="1948"/>
      <c r="K6" s="1948"/>
      <c r="L6" s="1948"/>
      <c r="M6" s="1948"/>
      <c r="N6" s="1948"/>
      <c r="O6" s="1949"/>
    </row>
    <row r="7" spans="1:25" s="4" customFormat="1" ht="20.100000000000001" customHeight="1">
      <c r="A7" s="2420"/>
      <c r="B7" s="1948"/>
      <c r="C7" s="1948"/>
      <c r="D7" s="1948"/>
      <c r="E7" s="1948"/>
      <c r="F7" s="1948"/>
      <c r="G7" s="1948"/>
      <c r="H7" s="1948"/>
      <c r="I7" s="1948"/>
      <c r="J7" s="1948"/>
      <c r="K7" s="1948"/>
      <c r="L7" s="1948"/>
      <c r="M7" s="1948"/>
      <c r="N7" s="1948"/>
      <c r="O7" s="1949"/>
    </row>
    <row r="8" spans="1:25" s="4" customFormat="1" ht="20.100000000000001" customHeight="1">
      <c r="A8" s="2420"/>
      <c r="B8" s="1948"/>
      <c r="C8" s="1948"/>
      <c r="D8" s="1948"/>
      <c r="E8" s="1948"/>
      <c r="F8" s="1948"/>
      <c r="G8" s="1948"/>
      <c r="H8" s="1948"/>
      <c r="I8" s="1948"/>
      <c r="J8" s="1948"/>
      <c r="K8" s="1948"/>
      <c r="L8" s="1948"/>
      <c r="M8" s="1948"/>
      <c r="N8" s="1948"/>
      <c r="O8" s="1949"/>
    </row>
    <row r="9" spans="1:25" s="4" customFormat="1" ht="20.100000000000001" customHeight="1">
      <c r="A9" s="2420"/>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1586"/>
      <c r="B15" s="1587"/>
      <c r="C15" s="10"/>
      <c r="D15" s="1953" t="s">
        <v>5</v>
      </c>
      <c r="E15" s="2422"/>
      <c r="F15" s="2422"/>
      <c r="G15" s="2422"/>
      <c r="H15" s="11"/>
      <c r="I15" s="12" t="s">
        <v>6</v>
      </c>
      <c r="J15" s="13"/>
      <c r="K15" s="13"/>
      <c r="L15" s="13"/>
      <c r="M15" s="13"/>
      <c r="N15" s="13"/>
      <c r="O15" s="14"/>
      <c r="P15" s="15"/>
      <c r="Q15" s="16"/>
      <c r="R15" s="17"/>
      <c r="S15" s="17"/>
      <c r="T15" s="17"/>
      <c r="U15" s="17"/>
      <c r="V15" s="17"/>
      <c r="W15" s="15"/>
      <c r="X15" s="15"/>
      <c r="Y15" s="16"/>
    </row>
    <row r="16" spans="1:25" s="56" customFormat="1" ht="129" customHeight="1">
      <c r="A16" s="1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1874"/>
      <c r="B17" s="1855"/>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1854"/>
      <c r="B18" s="1855"/>
      <c r="C18" s="36">
        <v>2015</v>
      </c>
      <c r="D18" s="37">
        <v>1</v>
      </c>
      <c r="E18" s="38"/>
      <c r="F18" s="38"/>
      <c r="G18" s="32">
        <f>SUM(D18:F18)</f>
        <v>1</v>
      </c>
      <c r="H18" s="39">
        <v>1</v>
      </c>
      <c r="I18" s="38"/>
      <c r="J18" s="38"/>
      <c r="K18" s="38"/>
      <c r="L18" s="38"/>
      <c r="M18" s="38"/>
      <c r="N18" s="38"/>
      <c r="O18" s="40"/>
      <c r="P18" s="35"/>
      <c r="Q18" s="35"/>
      <c r="R18" s="35"/>
      <c r="S18" s="35"/>
      <c r="T18" s="35"/>
      <c r="U18" s="35"/>
      <c r="V18" s="35"/>
      <c r="W18" s="35"/>
      <c r="X18" s="35"/>
      <c r="Y18" s="35"/>
    </row>
    <row r="19" spans="1:25">
      <c r="A19" s="1854"/>
      <c r="B19" s="1855"/>
      <c r="C19" s="36">
        <v>2016</v>
      </c>
      <c r="D19" s="37">
        <v>25</v>
      </c>
      <c r="E19" s="38"/>
      <c r="F19" s="38"/>
      <c r="G19" s="32">
        <f t="shared" si="0"/>
        <v>25</v>
      </c>
      <c r="H19" s="39">
        <v>25</v>
      </c>
      <c r="I19" s="38"/>
      <c r="J19" s="38"/>
      <c r="K19" s="38"/>
      <c r="L19" s="38"/>
      <c r="M19" s="38"/>
      <c r="N19" s="38"/>
      <c r="O19" s="40"/>
      <c r="P19" s="35"/>
      <c r="Q19" s="35"/>
      <c r="R19" s="35"/>
      <c r="S19" s="35"/>
      <c r="T19" s="35"/>
      <c r="U19" s="35"/>
      <c r="V19" s="35"/>
      <c r="W19" s="35"/>
      <c r="X19" s="35"/>
      <c r="Y19" s="35"/>
    </row>
    <row r="20" spans="1:25">
      <c r="A20" s="1854"/>
      <c r="B20" s="1855"/>
      <c r="C20" s="36">
        <v>2017</v>
      </c>
      <c r="D20" s="37">
        <v>5</v>
      </c>
      <c r="E20" s="38"/>
      <c r="F20" s="38"/>
      <c r="G20" s="32">
        <f t="shared" si="0"/>
        <v>5</v>
      </c>
      <c r="H20" s="39">
        <v>5</v>
      </c>
      <c r="I20" s="38"/>
      <c r="J20" s="38"/>
      <c r="K20" s="38"/>
      <c r="L20" s="38"/>
      <c r="M20" s="38"/>
      <c r="N20" s="38"/>
      <c r="O20" s="40"/>
      <c r="P20" s="35"/>
      <c r="Q20" s="35"/>
      <c r="R20" s="35"/>
      <c r="S20" s="35"/>
      <c r="T20" s="35"/>
      <c r="U20" s="35"/>
      <c r="V20" s="35"/>
      <c r="W20" s="35"/>
      <c r="X20" s="35"/>
      <c r="Y20" s="35"/>
    </row>
    <row r="21" spans="1:25">
      <c r="A21" s="1854"/>
      <c r="B21" s="1855"/>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1854"/>
      <c r="B22" s="1855"/>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1854"/>
      <c r="B23" s="1855"/>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19.5" customHeight="1" thickBot="1">
      <c r="A24" s="1856"/>
      <c r="B24" s="1857"/>
      <c r="C24" s="42" t="s">
        <v>13</v>
      </c>
      <c r="D24" s="43">
        <f>SUM(D17:D23)</f>
        <v>31</v>
      </c>
      <c r="E24" s="44">
        <f>SUM(E17:E23)</f>
        <v>0</v>
      </c>
      <c r="F24" s="44">
        <f>SUM(F17:F23)</f>
        <v>0</v>
      </c>
      <c r="G24" s="45">
        <f>SUM(D24:F24)</f>
        <v>31</v>
      </c>
      <c r="H24" s="46">
        <f>SUM(H17:H23)</f>
        <v>31</v>
      </c>
      <c r="I24" s="47">
        <f>SUM(I17:I23)</f>
        <v>0</v>
      </c>
      <c r="J24" s="47">
        <f t="shared" ref="J24:N24" si="1">SUM(J17:J23)</f>
        <v>0</v>
      </c>
      <c r="K24" s="47">
        <f t="shared" si="1"/>
        <v>0</v>
      </c>
      <c r="L24" s="47">
        <f t="shared" si="1"/>
        <v>0</v>
      </c>
      <c r="M24" s="47">
        <f t="shared" si="1"/>
        <v>0</v>
      </c>
      <c r="N24" s="47">
        <f t="shared" si="1"/>
        <v>0</v>
      </c>
      <c r="O24" s="48">
        <f>SUM(O17:O23)</f>
        <v>0</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1586"/>
      <c r="B26" s="1587"/>
      <c r="C26" s="50"/>
      <c r="D26" s="1959" t="s">
        <v>5</v>
      </c>
      <c r="E26" s="2424"/>
      <c r="F26" s="2424"/>
      <c r="G26" s="2425"/>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1874"/>
      <c r="B28" s="1855"/>
      <c r="C28" s="57">
        <v>2014</v>
      </c>
      <c r="D28" s="33"/>
      <c r="E28" s="31"/>
      <c r="F28" s="31"/>
      <c r="G28" s="58">
        <f>SUM(D28:F28)</f>
        <v>0</v>
      </c>
      <c r="H28" s="35"/>
      <c r="I28" s="35"/>
      <c r="J28" s="35"/>
      <c r="K28" s="35"/>
      <c r="L28" s="35"/>
      <c r="M28" s="35"/>
      <c r="N28" s="35"/>
      <c r="O28" s="35"/>
      <c r="P28" s="35"/>
      <c r="Q28" s="7"/>
    </row>
    <row r="29" spans="1:25">
      <c r="A29" s="1854"/>
      <c r="B29" s="1855"/>
      <c r="C29" s="59">
        <v>2015</v>
      </c>
      <c r="D29" s="39">
        <v>100</v>
      </c>
      <c r="E29" s="38"/>
      <c r="F29" s="38"/>
      <c r="G29" s="58">
        <f t="shared" ref="G29:G35" si="2">SUM(D29:F29)</f>
        <v>100</v>
      </c>
      <c r="H29" s="35"/>
      <c r="I29" s="35"/>
      <c r="J29" s="35"/>
      <c r="K29" s="35"/>
      <c r="L29" s="35"/>
      <c r="M29" s="35"/>
      <c r="N29" s="35"/>
      <c r="O29" s="35"/>
      <c r="P29" s="35"/>
      <c r="Q29" s="7"/>
    </row>
    <row r="30" spans="1:25">
      <c r="A30" s="1854"/>
      <c r="B30" s="1855"/>
      <c r="C30" s="59">
        <v>2016</v>
      </c>
      <c r="D30" s="39">
        <v>900</v>
      </c>
      <c r="E30" s="38"/>
      <c r="F30" s="38"/>
      <c r="G30" s="58">
        <f t="shared" si="2"/>
        <v>900</v>
      </c>
      <c r="H30" s="35"/>
      <c r="I30" s="35"/>
      <c r="J30" s="35"/>
      <c r="K30" s="35"/>
      <c r="L30" s="35"/>
      <c r="M30" s="35"/>
      <c r="N30" s="35"/>
      <c r="O30" s="35"/>
      <c r="P30" s="35"/>
      <c r="Q30" s="7"/>
    </row>
    <row r="31" spans="1:25">
      <c r="A31" s="1854"/>
      <c r="B31" s="1855"/>
      <c r="C31" s="59">
        <v>2017</v>
      </c>
      <c r="D31" s="39">
        <v>290</v>
      </c>
      <c r="E31" s="38"/>
      <c r="F31" s="38"/>
      <c r="G31" s="58">
        <f t="shared" si="2"/>
        <v>290</v>
      </c>
      <c r="H31" s="35"/>
      <c r="I31" s="35"/>
      <c r="J31" s="35"/>
      <c r="K31" s="35"/>
      <c r="L31" s="35"/>
      <c r="M31" s="35"/>
      <c r="N31" s="35"/>
      <c r="O31" s="35"/>
      <c r="P31" s="35"/>
      <c r="Q31" s="7"/>
    </row>
    <row r="32" spans="1:25">
      <c r="A32" s="1854"/>
      <c r="B32" s="1855"/>
      <c r="C32" s="59">
        <v>2018</v>
      </c>
      <c r="D32" s="39"/>
      <c r="E32" s="38"/>
      <c r="F32" s="38"/>
      <c r="G32" s="58">
        <f>SUM(D32:F32)</f>
        <v>0</v>
      </c>
      <c r="H32" s="35"/>
      <c r="I32" s="35"/>
      <c r="J32" s="35"/>
      <c r="K32" s="35"/>
      <c r="L32" s="35"/>
      <c r="M32" s="35"/>
      <c r="N32" s="35"/>
      <c r="O32" s="35"/>
      <c r="P32" s="35"/>
      <c r="Q32" s="7"/>
    </row>
    <row r="33" spans="1:17">
      <c r="A33" s="1854"/>
      <c r="B33" s="1855"/>
      <c r="C33" s="60">
        <v>2019</v>
      </c>
      <c r="D33" s="39"/>
      <c r="E33" s="38"/>
      <c r="F33" s="38"/>
      <c r="G33" s="58">
        <f t="shared" si="2"/>
        <v>0</v>
      </c>
      <c r="H33" s="35"/>
      <c r="I33" s="35"/>
      <c r="J33" s="35"/>
      <c r="K33" s="35"/>
      <c r="L33" s="35"/>
      <c r="M33" s="35"/>
      <c r="N33" s="35"/>
      <c r="O33" s="35"/>
      <c r="P33" s="35"/>
      <c r="Q33" s="7"/>
    </row>
    <row r="34" spans="1:17">
      <c r="A34" s="1854"/>
      <c r="B34" s="1855"/>
      <c r="C34" s="59">
        <v>2020</v>
      </c>
      <c r="D34" s="39"/>
      <c r="E34" s="38"/>
      <c r="F34" s="38"/>
      <c r="G34" s="58">
        <f t="shared" si="2"/>
        <v>0</v>
      </c>
      <c r="H34" s="35"/>
      <c r="I34" s="35"/>
      <c r="J34" s="35"/>
      <c r="K34" s="35"/>
      <c r="L34" s="35"/>
      <c r="M34" s="35"/>
      <c r="N34" s="35"/>
      <c r="O34" s="35"/>
      <c r="P34" s="35"/>
      <c r="Q34" s="7"/>
    </row>
    <row r="35" spans="1:17" ht="20.25" customHeight="1" thickBot="1">
      <c r="A35" s="1856"/>
      <c r="B35" s="1857"/>
      <c r="C35" s="61" t="s">
        <v>13</v>
      </c>
      <c r="D35" s="46">
        <f>SUM(D28:D34)</f>
        <v>1290</v>
      </c>
      <c r="E35" s="44">
        <f>SUM(E28:E34)</f>
        <v>0</v>
      </c>
      <c r="F35" s="44">
        <f>SUM(F28:F34)</f>
        <v>0</v>
      </c>
      <c r="G35" s="48">
        <f t="shared" si="2"/>
        <v>1290</v>
      </c>
      <c r="H35" s="35"/>
      <c r="I35" s="35"/>
      <c r="J35" s="35"/>
      <c r="K35" s="35"/>
      <c r="L35" s="35"/>
      <c r="M35" s="35"/>
      <c r="N35" s="35"/>
      <c r="O35" s="35"/>
      <c r="P35" s="35"/>
      <c r="Q35" s="7"/>
    </row>
    <row r="36" spans="1:17">
      <c r="A36" s="1535"/>
      <c r="B36" s="1535"/>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1544" t="s">
        <v>26</v>
      </c>
      <c r="B39" s="1545" t="s">
        <v>171</v>
      </c>
      <c r="C39" s="68" t="s">
        <v>9</v>
      </c>
      <c r="D39" s="69" t="s">
        <v>28</v>
      </c>
      <c r="E39" s="70" t="s">
        <v>29</v>
      </c>
      <c r="F39" s="71"/>
      <c r="G39" s="28"/>
      <c r="H39" s="28"/>
    </row>
    <row r="40" spans="1:17">
      <c r="A40" s="1874" t="s">
        <v>447</v>
      </c>
      <c r="B40" s="1855"/>
      <c r="C40" s="72">
        <v>2014</v>
      </c>
      <c r="D40" s="30"/>
      <c r="E40" s="29"/>
      <c r="F40" s="7"/>
      <c r="G40" s="35"/>
      <c r="H40" s="35"/>
    </row>
    <row r="41" spans="1:17">
      <c r="A41" s="1854"/>
      <c r="B41" s="1855"/>
      <c r="C41" s="73">
        <v>2015</v>
      </c>
      <c r="D41" s="37">
        <v>676</v>
      </c>
      <c r="E41" s="36"/>
      <c r="F41" s="7"/>
      <c r="G41" s="35"/>
      <c r="H41" s="35"/>
    </row>
    <row r="42" spans="1:17">
      <c r="A42" s="1854"/>
      <c r="B42" s="1855"/>
      <c r="C42" s="73">
        <v>2016</v>
      </c>
      <c r="D42" s="37">
        <v>2320</v>
      </c>
      <c r="E42" s="36"/>
      <c r="F42" s="7"/>
      <c r="G42" s="35"/>
      <c r="H42" s="35"/>
    </row>
    <row r="43" spans="1:17">
      <c r="A43" s="1854"/>
      <c r="B43" s="1855"/>
      <c r="C43" s="73">
        <v>2017</v>
      </c>
      <c r="D43" s="37">
        <v>2456</v>
      </c>
      <c r="E43" s="36"/>
      <c r="F43" s="7"/>
      <c r="G43" s="35"/>
      <c r="H43" s="35"/>
    </row>
    <row r="44" spans="1:17">
      <c r="A44" s="1854"/>
      <c r="B44" s="1855"/>
      <c r="C44" s="73">
        <v>2018</v>
      </c>
      <c r="D44" s="37"/>
      <c r="E44" s="36"/>
      <c r="F44" s="7"/>
      <c r="G44" s="35"/>
      <c r="H44" s="35"/>
    </row>
    <row r="45" spans="1:17">
      <c r="A45" s="1854"/>
      <c r="B45" s="1855"/>
      <c r="C45" s="73">
        <v>2019</v>
      </c>
      <c r="D45" s="37"/>
      <c r="E45" s="36"/>
      <c r="F45" s="7"/>
      <c r="G45" s="35"/>
      <c r="H45" s="35"/>
    </row>
    <row r="46" spans="1:17">
      <c r="A46" s="1854"/>
      <c r="B46" s="1855"/>
      <c r="C46" s="73">
        <v>2020</v>
      </c>
      <c r="D46" s="37"/>
      <c r="E46" s="36"/>
      <c r="F46" s="7"/>
      <c r="G46" s="35"/>
      <c r="H46" s="35"/>
    </row>
    <row r="47" spans="1:17" ht="15.75" thickBot="1">
      <c r="A47" s="1856"/>
      <c r="B47" s="1857"/>
      <c r="C47" s="42" t="s">
        <v>13</v>
      </c>
      <c r="D47" s="43">
        <f>SUM(D40:D46)</f>
        <v>5452</v>
      </c>
      <c r="E47" s="455">
        <f>SUM(E40:E46)</f>
        <v>0</v>
      </c>
      <c r="F47" s="78"/>
      <c r="G47" s="35"/>
      <c r="H47" s="35"/>
    </row>
    <row r="48" spans="1:17" s="35" customFormat="1" ht="15.75" thickBot="1">
      <c r="A48" s="1595"/>
      <c r="B48" s="80"/>
      <c r="C48" s="81"/>
    </row>
    <row r="49" spans="1:15" ht="83.25" customHeight="1">
      <c r="A49" s="82" t="s">
        <v>32</v>
      </c>
      <c r="B49" s="1545" t="s">
        <v>171</v>
      </c>
      <c r="C49" s="84" t="s">
        <v>9</v>
      </c>
      <c r="D49" s="69" t="s">
        <v>34</v>
      </c>
      <c r="E49" s="85" t="s">
        <v>35</v>
      </c>
      <c r="F49" s="85" t="s">
        <v>36</v>
      </c>
      <c r="G49" s="85" t="s">
        <v>37</v>
      </c>
      <c r="H49" s="85" t="s">
        <v>38</v>
      </c>
      <c r="I49" s="85" t="s">
        <v>39</v>
      </c>
      <c r="J49" s="85" t="s">
        <v>40</v>
      </c>
      <c r="K49" s="86" t="s">
        <v>41</v>
      </c>
    </row>
    <row r="50" spans="1:15" ht="17.25" customHeight="1">
      <c r="A50" s="1872"/>
      <c r="B50" s="1879"/>
      <c r="C50" s="87" t="s">
        <v>43</v>
      </c>
      <c r="D50" s="30"/>
      <c r="E50" s="31"/>
      <c r="F50" s="31"/>
      <c r="G50" s="31"/>
      <c r="H50" s="31"/>
      <c r="I50" s="31"/>
      <c r="J50" s="31"/>
      <c r="K50" s="34"/>
    </row>
    <row r="51" spans="1:15" ht="15" customHeight="1">
      <c r="A51" s="1874"/>
      <c r="B51" s="1881"/>
      <c r="C51" s="73">
        <v>2014</v>
      </c>
      <c r="D51" s="37"/>
      <c r="E51" s="38"/>
      <c r="F51" s="38"/>
      <c r="G51" s="38"/>
      <c r="H51" s="38"/>
      <c r="I51" s="38"/>
      <c r="J51" s="38"/>
      <c r="K51" s="88"/>
    </row>
    <row r="52" spans="1:15">
      <c r="A52" s="1874"/>
      <c r="B52" s="1881"/>
      <c r="C52" s="73">
        <v>2015</v>
      </c>
      <c r="D52" s="37"/>
      <c r="E52" s="38"/>
      <c r="F52" s="38"/>
      <c r="G52" s="38"/>
      <c r="H52" s="38"/>
      <c r="I52" s="38"/>
      <c r="J52" s="38"/>
      <c r="K52" s="88"/>
    </row>
    <row r="53" spans="1:15">
      <c r="A53" s="1874"/>
      <c r="B53" s="1881"/>
      <c r="C53" s="73">
        <v>2016</v>
      </c>
      <c r="D53" s="37"/>
      <c r="E53" s="38"/>
      <c r="F53" s="38"/>
      <c r="G53" s="38"/>
      <c r="H53" s="38"/>
      <c r="I53" s="38"/>
      <c r="J53" s="38"/>
      <c r="K53" s="88"/>
    </row>
    <row r="54" spans="1:15">
      <c r="A54" s="1874"/>
      <c r="B54" s="1881"/>
      <c r="C54" s="73">
        <v>2017</v>
      </c>
      <c r="D54" s="37"/>
      <c r="E54" s="38"/>
      <c r="F54" s="38"/>
      <c r="G54" s="38"/>
      <c r="H54" s="38"/>
      <c r="I54" s="38"/>
      <c r="J54" s="38"/>
      <c r="K54" s="88"/>
    </row>
    <row r="55" spans="1:15">
      <c r="A55" s="1874"/>
      <c r="B55" s="1881"/>
      <c r="C55" s="73">
        <v>2018</v>
      </c>
      <c r="D55" s="37"/>
      <c r="E55" s="38"/>
      <c r="F55" s="38"/>
      <c r="G55" s="38"/>
      <c r="H55" s="38"/>
      <c r="I55" s="38"/>
      <c r="J55" s="38"/>
      <c r="K55" s="88"/>
    </row>
    <row r="56" spans="1:15">
      <c r="A56" s="1874"/>
      <c r="B56" s="1881"/>
      <c r="C56" s="73">
        <v>2019</v>
      </c>
      <c r="D56" s="37"/>
      <c r="E56" s="38"/>
      <c r="F56" s="38"/>
      <c r="G56" s="38"/>
      <c r="H56" s="38"/>
      <c r="I56" s="38"/>
      <c r="J56" s="38"/>
      <c r="K56" s="88"/>
    </row>
    <row r="57" spans="1:15">
      <c r="A57" s="1874"/>
      <c r="B57" s="1881"/>
      <c r="C57" s="73">
        <v>2020</v>
      </c>
      <c r="D57" s="37"/>
      <c r="E57" s="38"/>
      <c r="F57" s="38"/>
      <c r="G57" s="38"/>
      <c r="H57" s="38"/>
      <c r="I57" s="38"/>
      <c r="J57" s="38"/>
      <c r="K57" s="93"/>
    </row>
    <row r="58" spans="1:15" ht="20.25" customHeight="1" thickBot="1">
      <c r="A58" s="1876"/>
      <c r="B58" s="1883"/>
      <c r="C58" s="42" t="s">
        <v>13</v>
      </c>
      <c r="D58" s="43">
        <f>SUM(D51:D57)</f>
        <v>0</v>
      </c>
      <c r="E58" s="44">
        <f>SUM(E51:E57)</f>
        <v>0</v>
      </c>
      <c r="F58" s="44">
        <f>SUM(F51:F57)</f>
        <v>0</v>
      </c>
      <c r="G58" s="44">
        <f>SUM(G51:G57)</f>
        <v>0</v>
      </c>
      <c r="H58" s="44">
        <f>SUM(H51:H57)</f>
        <v>0</v>
      </c>
      <c r="I58" s="44">
        <f t="shared" ref="I58" si="3">SUM(I51:I57)</f>
        <v>0</v>
      </c>
      <c r="J58" s="44">
        <f>SUM(J51:J57)</f>
        <v>0</v>
      </c>
      <c r="K58" s="48">
        <f>SUM(K50:K56)</f>
        <v>0</v>
      </c>
    </row>
    <row r="59" spans="1:15" ht="15.75" thickBot="1"/>
    <row r="60" spans="1:15" ht="21" customHeight="1">
      <c r="A60" s="2427" t="s">
        <v>44</v>
      </c>
      <c r="B60" s="1616"/>
      <c r="C60" s="2429" t="s">
        <v>9</v>
      </c>
      <c r="D60" s="2417" t="s">
        <v>45</v>
      </c>
      <c r="E60" s="96" t="s">
        <v>6</v>
      </c>
      <c r="F60" s="1542"/>
      <c r="G60" s="1542"/>
      <c r="H60" s="1542"/>
      <c r="I60" s="1542"/>
      <c r="J60" s="1542"/>
      <c r="K60" s="1542"/>
      <c r="L60" s="1543"/>
    </row>
    <row r="61" spans="1:15" ht="115.5" customHeight="1">
      <c r="A61" s="1970"/>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1898" t="s">
        <v>448</v>
      </c>
      <c r="B62" s="1899"/>
      <c r="C62" s="106">
        <v>2014</v>
      </c>
      <c r="D62" s="107"/>
      <c r="E62" s="108"/>
      <c r="F62" s="109"/>
      <c r="G62" s="109"/>
      <c r="H62" s="109"/>
      <c r="I62" s="109"/>
      <c r="J62" s="109"/>
      <c r="K62" s="109"/>
      <c r="L62" s="34"/>
      <c r="M62" s="7"/>
      <c r="N62" s="7"/>
      <c r="O62" s="7"/>
    </row>
    <row r="63" spans="1:15">
      <c r="A63" s="1891"/>
      <c r="B63" s="1899"/>
      <c r="C63" s="110">
        <v>2015</v>
      </c>
      <c r="D63" s="111">
        <v>1</v>
      </c>
      <c r="E63" s="112">
        <v>1</v>
      </c>
      <c r="F63" s="38"/>
      <c r="G63" s="38"/>
      <c r="H63" s="38"/>
      <c r="I63" s="38"/>
      <c r="J63" s="38"/>
      <c r="K63" s="38"/>
      <c r="L63" s="88"/>
      <c r="M63" s="7"/>
      <c r="N63" s="7"/>
      <c r="O63" s="7"/>
    </row>
    <row r="64" spans="1:15">
      <c r="A64" s="1891"/>
      <c r="B64" s="1899"/>
      <c r="C64" s="110">
        <v>2016</v>
      </c>
      <c r="D64" s="111"/>
      <c r="E64" s="112"/>
      <c r="F64" s="38"/>
      <c r="G64" s="38"/>
      <c r="H64" s="38"/>
      <c r="I64" s="38"/>
      <c r="J64" s="38"/>
      <c r="K64" s="38"/>
      <c r="L64" s="88"/>
      <c r="M64" s="7"/>
      <c r="N64" s="7"/>
      <c r="O64" s="7"/>
    </row>
    <row r="65" spans="1:20">
      <c r="A65" s="1891"/>
      <c r="B65" s="1899"/>
      <c r="C65" s="110">
        <v>2017</v>
      </c>
      <c r="D65" s="111"/>
      <c r="E65" s="112"/>
      <c r="F65" s="38"/>
      <c r="G65" s="38"/>
      <c r="H65" s="38"/>
      <c r="I65" s="38"/>
      <c r="J65" s="38"/>
      <c r="K65" s="38"/>
      <c r="L65" s="88"/>
      <c r="M65" s="7"/>
      <c r="N65" s="7"/>
      <c r="O65" s="7"/>
    </row>
    <row r="66" spans="1:20">
      <c r="A66" s="1891"/>
      <c r="B66" s="1899"/>
      <c r="C66" s="110">
        <v>2018</v>
      </c>
      <c r="D66" s="111"/>
      <c r="E66" s="112"/>
      <c r="F66" s="38"/>
      <c r="G66" s="38"/>
      <c r="H66" s="38"/>
      <c r="I66" s="38"/>
      <c r="J66" s="38"/>
      <c r="K66" s="38"/>
      <c r="L66" s="88"/>
      <c r="M66" s="7"/>
      <c r="N66" s="7"/>
      <c r="O66" s="7"/>
    </row>
    <row r="67" spans="1:20" ht="17.25" customHeight="1">
      <c r="A67" s="1891"/>
      <c r="B67" s="1899"/>
      <c r="C67" s="110">
        <v>2019</v>
      </c>
      <c r="D67" s="111"/>
      <c r="E67" s="112"/>
      <c r="F67" s="38"/>
      <c r="G67" s="38"/>
      <c r="H67" s="38"/>
      <c r="I67" s="38"/>
      <c r="J67" s="38"/>
      <c r="K67" s="38"/>
      <c r="L67" s="88"/>
      <c r="M67" s="7"/>
      <c r="N67" s="7"/>
      <c r="O67" s="7"/>
    </row>
    <row r="68" spans="1:20" ht="16.5" customHeight="1">
      <c r="A68" s="1891"/>
      <c r="B68" s="1899"/>
      <c r="C68" s="110">
        <v>2020</v>
      </c>
      <c r="D68" s="111"/>
      <c r="E68" s="112"/>
      <c r="F68" s="38"/>
      <c r="G68" s="38"/>
      <c r="H68" s="38"/>
      <c r="I68" s="38"/>
      <c r="J68" s="38"/>
      <c r="K68" s="38"/>
      <c r="L68" s="88"/>
      <c r="M68" s="78"/>
      <c r="N68" s="78"/>
      <c r="O68" s="78"/>
    </row>
    <row r="69" spans="1:20" ht="18" customHeight="1" thickBot="1">
      <c r="A69" s="1980"/>
      <c r="B69" s="1900"/>
      <c r="C69" s="113" t="s">
        <v>13</v>
      </c>
      <c r="D69" s="114">
        <f>SUM(D62:D68)</f>
        <v>1</v>
      </c>
      <c r="E69" s="115">
        <f>SUM(E62:E68)</f>
        <v>1</v>
      </c>
      <c r="F69" s="116">
        <f t="shared" ref="F69:I69" si="4">SUM(F62:F68)</f>
        <v>0</v>
      </c>
      <c r="G69" s="116">
        <f t="shared" si="4"/>
        <v>0</v>
      </c>
      <c r="H69" s="116">
        <f t="shared" si="4"/>
        <v>0</v>
      </c>
      <c r="I69" s="116">
        <f t="shared" si="4"/>
        <v>0</v>
      </c>
      <c r="J69" s="116"/>
      <c r="K69" s="116">
        <f>SUM(K62:K68)</f>
        <v>0</v>
      </c>
      <c r="L69" s="117">
        <f>SUM(L62:L68)</f>
        <v>0</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1544" t="s">
        <v>47</v>
      </c>
      <c r="B71" s="1545"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1874"/>
      <c r="B72" s="1899"/>
      <c r="C72" s="72">
        <v>2014</v>
      </c>
      <c r="D72" s="131"/>
      <c r="E72" s="131"/>
      <c r="F72" s="131"/>
      <c r="G72" s="132">
        <f>SUM(D72:F72)</f>
        <v>0</v>
      </c>
      <c r="H72" s="30"/>
      <c r="I72" s="133"/>
      <c r="J72" s="109"/>
      <c r="K72" s="109"/>
      <c r="L72" s="109"/>
      <c r="M72" s="109"/>
      <c r="N72" s="109"/>
      <c r="O72" s="134"/>
    </row>
    <row r="73" spans="1:20">
      <c r="A73" s="1854"/>
      <c r="B73" s="1899"/>
      <c r="C73" s="73">
        <v>2015</v>
      </c>
      <c r="D73" s="135"/>
      <c r="E73" s="135"/>
      <c r="F73" s="135"/>
      <c r="G73" s="132">
        <f t="shared" ref="G73:G78" si="5">SUM(D73:F73)</f>
        <v>0</v>
      </c>
      <c r="H73" s="37"/>
      <c r="I73" s="37"/>
      <c r="J73" s="38"/>
      <c r="K73" s="38"/>
      <c r="L73" s="38"/>
      <c r="M73" s="38"/>
      <c r="N73" s="38"/>
      <c r="O73" s="88"/>
    </row>
    <row r="74" spans="1:20">
      <c r="A74" s="1854"/>
      <c r="B74" s="1899"/>
      <c r="C74" s="73">
        <v>2016</v>
      </c>
      <c r="D74" s="135"/>
      <c r="E74" s="135"/>
      <c r="F74" s="135"/>
      <c r="G74" s="132">
        <f t="shared" si="5"/>
        <v>0</v>
      </c>
      <c r="H74" s="37"/>
      <c r="I74" s="37"/>
      <c r="J74" s="38"/>
      <c r="K74" s="38"/>
      <c r="L74" s="38"/>
      <c r="M74" s="38"/>
      <c r="N74" s="38"/>
      <c r="O74" s="88"/>
    </row>
    <row r="75" spans="1:20">
      <c r="A75" s="1854"/>
      <c r="B75" s="1899"/>
      <c r="C75" s="73">
        <v>2017</v>
      </c>
      <c r="D75" s="135"/>
      <c r="E75" s="135"/>
      <c r="F75" s="135"/>
      <c r="G75" s="132">
        <f t="shared" si="5"/>
        <v>0</v>
      </c>
      <c r="H75" s="37"/>
      <c r="I75" s="37"/>
      <c r="J75" s="38"/>
      <c r="K75" s="38"/>
      <c r="L75" s="38"/>
      <c r="M75" s="38"/>
      <c r="N75" s="38"/>
      <c r="O75" s="88"/>
    </row>
    <row r="76" spans="1:20">
      <c r="A76" s="1854"/>
      <c r="B76" s="1899"/>
      <c r="C76" s="73">
        <v>2018</v>
      </c>
      <c r="D76" s="135"/>
      <c r="E76" s="135"/>
      <c r="F76" s="135"/>
      <c r="G76" s="132">
        <f t="shared" si="5"/>
        <v>0</v>
      </c>
      <c r="H76" s="37"/>
      <c r="I76" s="37"/>
      <c r="J76" s="38"/>
      <c r="K76" s="38"/>
      <c r="L76" s="38"/>
      <c r="M76" s="38"/>
      <c r="N76" s="38"/>
      <c r="O76" s="88"/>
    </row>
    <row r="77" spans="1:20" ht="15.75" customHeight="1">
      <c r="A77" s="1854"/>
      <c r="B77" s="1899"/>
      <c r="C77" s="73">
        <v>2019</v>
      </c>
      <c r="D77" s="135"/>
      <c r="E77" s="135"/>
      <c r="F77" s="135"/>
      <c r="G77" s="132">
        <f t="shared" si="5"/>
        <v>0</v>
      </c>
      <c r="H77" s="37"/>
      <c r="I77" s="37"/>
      <c r="J77" s="38"/>
      <c r="K77" s="38"/>
      <c r="L77" s="38"/>
      <c r="M77" s="38"/>
      <c r="N77" s="38"/>
      <c r="O77" s="88"/>
    </row>
    <row r="78" spans="1:20" ht="17.25" customHeight="1">
      <c r="A78" s="1854"/>
      <c r="B78" s="1899"/>
      <c r="C78" s="73">
        <v>2020</v>
      </c>
      <c r="D78" s="135"/>
      <c r="E78" s="135"/>
      <c r="F78" s="135"/>
      <c r="G78" s="132">
        <f t="shared" si="5"/>
        <v>0</v>
      </c>
      <c r="H78" s="37"/>
      <c r="I78" s="37"/>
      <c r="J78" s="38"/>
      <c r="K78" s="38"/>
      <c r="L78" s="38"/>
      <c r="M78" s="38"/>
      <c r="N78" s="38"/>
      <c r="O78" s="88"/>
    </row>
    <row r="79" spans="1:20" ht="20.25" customHeight="1" thickBot="1">
      <c r="A79" s="1980"/>
      <c r="B79" s="1900"/>
      <c r="C79" s="136" t="s">
        <v>13</v>
      </c>
      <c r="D79" s="114">
        <f>SUM(D72:D78)</f>
        <v>0</v>
      </c>
      <c r="E79" s="114">
        <f>SUM(E72:E78)</f>
        <v>0</v>
      </c>
      <c r="F79" s="114">
        <f>SUM(F72:F78)</f>
        <v>0</v>
      </c>
      <c r="G79" s="137">
        <f>SUM(G72:G78)</f>
        <v>0</v>
      </c>
      <c r="H79" s="138">
        <v>0</v>
      </c>
      <c r="I79" s="139">
        <f t="shared" ref="I79:O79" si="6">SUM(I72:I78)</f>
        <v>0</v>
      </c>
      <c r="J79" s="116">
        <f t="shared" si="6"/>
        <v>0</v>
      </c>
      <c r="K79" s="116">
        <f t="shared" si="6"/>
        <v>0</v>
      </c>
      <c r="L79" s="116">
        <f t="shared" si="6"/>
        <v>0</v>
      </c>
      <c r="M79" s="116">
        <f t="shared" si="6"/>
        <v>0</v>
      </c>
      <c r="N79" s="116">
        <f t="shared" si="6"/>
        <v>0</v>
      </c>
      <c r="O79" s="117">
        <f t="shared" si="6"/>
        <v>0</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1546" t="s">
        <v>56</v>
      </c>
      <c r="B84" s="1547" t="s">
        <v>178</v>
      </c>
      <c r="C84" s="149" t="s">
        <v>9</v>
      </c>
      <c r="D84" s="150" t="s">
        <v>58</v>
      </c>
      <c r="E84" s="151" t="s">
        <v>59</v>
      </c>
      <c r="F84" s="152" t="s">
        <v>60</v>
      </c>
      <c r="G84" s="152" t="s">
        <v>61</v>
      </c>
      <c r="H84" s="152" t="s">
        <v>62</v>
      </c>
      <c r="I84" s="152" t="s">
        <v>63</v>
      </c>
      <c r="J84" s="152" t="s">
        <v>64</v>
      </c>
      <c r="K84" s="153" t="s">
        <v>65</v>
      </c>
    </row>
    <row r="85" spans="1:16" ht="15" customHeight="1">
      <c r="A85" s="1938"/>
      <c r="B85" s="1899"/>
      <c r="C85" s="72">
        <v>2014</v>
      </c>
      <c r="D85" s="154"/>
      <c r="E85" s="155"/>
      <c r="F85" s="31"/>
      <c r="G85" s="31"/>
      <c r="H85" s="31"/>
      <c r="I85" s="31"/>
      <c r="J85" s="31"/>
      <c r="K85" s="34"/>
    </row>
    <row r="86" spans="1:16">
      <c r="A86" s="1939"/>
      <c r="B86" s="1899"/>
      <c r="C86" s="73">
        <v>2015</v>
      </c>
      <c r="D86" s="156"/>
      <c r="E86" s="112"/>
      <c r="F86" s="38"/>
      <c r="G86" s="38"/>
      <c r="H86" s="38"/>
      <c r="I86" s="38"/>
      <c r="J86" s="38"/>
      <c r="K86" s="88"/>
    </row>
    <row r="87" spans="1:16">
      <c r="A87" s="1939"/>
      <c r="B87" s="1899"/>
      <c r="C87" s="73">
        <v>2016</v>
      </c>
      <c r="D87" s="156"/>
      <c r="E87" s="112"/>
      <c r="F87" s="38"/>
      <c r="G87" s="38"/>
      <c r="H87" s="38"/>
      <c r="I87" s="38"/>
      <c r="J87" s="38"/>
      <c r="K87" s="88"/>
    </row>
    <row r="88" spans="1:16">
      <c r="A88" s="1939"/>
      <c r="B88" s="1899"/>
      <c r="C88" s="73">
        <v>2017</v>
      </c>
      <c r="D88" s="156"/>
      <c r="E88" s="112"/>
      <c r="F88" s="38"/>
      <c r="G88" s="38"/>
      <c r="H88" s="38"/>
      <c r="I88" s="38"/>
      <c r="J88" s="38"/>
      <c r="K88" s="88"/>
    </row>
    <row r="89" spans="1:16">
      <c r="A89" s="1939"/>
      <c r="B89" s="1899"/>
      <c r="C89" s="73">
        <v>2018</v>
      </c>
      <c r="D89" s="156"/>
      <c r="E89" s="112"/>
      <c r="F89" s="38"/>
      <c r="G89" s="38"/>
      <c r="H89" s="38"/>
      <c r="I89" s="38"/>
      <c r="J89" s="38"/>
      <c r="K89" s="88"/>
    </row>
    <row r="90" spans="1:16">
      <c r="A90" s="1939"/>
      <c r="B90" s="1899"/>
      <c r="C90" s="73">
        <v>2019</v>
      </c>
      <c r="D90" s="156"/>
      <c r="E90" s="112"/>
      <c r="F90" s="38"/>
      <c r="G90" s="38"/>
      <c r="H90" s="38"/>
      <c r="I90" s="38"/>
      <c r="J90" s="38"/>
      <c r="K90" s="88"/>
    </row>
    <row r="91" spans="1:16">
      <c r="A91" s="1939"/>
      <c r="B91" s="1899"/>
      <c r="C91" s="73">
        <v>2020</v>
      </c>
      <c r="D91" s="156"/>
      <c r="E91" s="112"/>
      <c r="F91" s="38"/>
      <c r="G91" s="38"/>
      <c r="H91" s="38"/>
      <c r="I91" s="38"/>
      <c r="J91" s="38"/>
      <c r="K91" s="88"/>
    </row>
    <row r="92" spans="1:16" ht="18" customHeight="1" thickBot="1">
      <c r="A92" s="1940"/>
      <c r="B92" s="1900"/>
      <c r="C92" s="136" t="s">
        <v>13</v>
      </c>
      <c r="D92" s="157">
        <f t="shared" ref="D92:I92" si="7">SUM(D85:D91)</f>
        <v>0</v>
      </c>
      <c r="E92" s="115">
        <f t="shared" si="7"/>
        <v>0</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405" t="s">
        <v>68</v>
      </c>
      <c r="B96" s="2407" t="s">
        <v>179</v>
      </c>
      <c r="C96" s="2413" t="s">
        <v>9</v>
      </c>
      <c r="D96" s="1916" t="s">
        <v>70</v>
      </c>
      <c r="E96" s="1917"/>
      <c r="F96" s="162" t="s">
        <v>71</v>
      </c>
      <c r="G96" s="1548"/>
      <c r="H96" s="1548"/>
      <c r="I96" s="1548"/>
      <c r="J96" s="1548"/>
      <c r="K96" s="1548"/>
      <c r="L96" s="1548"/>
      <c r="M96" s="1549"/>
      <c r="N96" s="165"/>
      <c r="O96" s="165"/>
      <c r="P96" s="165"/>
    </row>
    <row r="97" spans="1:16" ht="100.5" customHeight="1">
      <c r="A97" s="1910"/>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1898"/>
      <c r="B98" s="1899"/>
      <c r="C98" s="106">
        <v>2014</v>
      </c>
      <c r="D98" s="30"/>
      <c r="E98" s="31"/>
      <c r="F98" s="174"/>
      <c r="G98" s="175"/>
      <c r="H98" s="175"/>
      <c r="I98" s="175"/>
      <c r="J98" s="175"/>
      <c r="K98" s="175"/>
      <c r="L98" s="175"/>
      <c r="M98" s="176"/>
      <c r="N98" s="165"/>
      <c r="O98" s="165"/>
      <c r="P98" s="165"/>
    </row>
    <row r="99" spans="1:16" ht="16.5" customHeight="1">
      <c r="A99" s="1891"/>
      <c r="B99" s="1899"/>
      <c r="C99" s="110">
        <v>2015</v>
      </c>
      <c r="D99" s="37"/>
      <c r="E99" s="38"/>
      <c r="F99" s="177"/>
      <c r="G99" s="178"/>
      <c r="H99" s="178"/>
      <c r="I99" s="178"/>
      <c r="J99" s="178"/>
      <c r="K99" s="178"/>
      <c r="L99" s="178"/>
      <c r="M99" s="179"/>
      <c r="N99" s="165"/>
      <c r="O99" s="165"/>
      <c r="P99" s="165"/>
    </row>
    <row r="100" spans="1:16" ht="16.5" customHeight="1">
      <c r="A100" s="1891"/>
      <c r="B100" s="1899"/>
      <c r="C100" s="110">
        <v>2016</v>
      </c>
      <c r="D100" s="37"/>
      <c r="E100" s="38"/>
      <c r="F100" s="177"/>
      <c r="G100" s="178"/>
      <c r="H100" s="178"/>
      <c r="I100" s="178"/>
      <c r="J100" s="178"/>
      <c r="K100" s="178"/>
      <c r="L100" s="178"/>
      <c r="M100" s="179"/>
      <c r="N100" s="165"/>
      <c r="O100" s="165"/>
      <c r="P100" s="165"/>
    </row>
    <row r="101" spans="1:16" ht="16.5" customHeight="1">
      <c r="A101" s="1891"/>
      <c r="B101" s="1899"/>
      <c r="C101" s="110">
        <v>2017</v>
      </c>
      <c r="D101" s="37"/>
      <c r="E101" s="38"/>
      <c r="F101" s="177"/>
      <c r="G101" s="178"/>
      <c r="H101" s="178"/>
      <c r="I101" s="178"/>
      <c r="J101" s="178"/>
      <c r="K101" s="178"/>
      <c r="L101" s="178"/>
      <c r="M101" s="179"/>
      <c r="N101" s="165"/>
      <c r="O101" s="165"/>
      <c r="P101" s="165"/>
    </row>
    <row r="102" spans="1:16" ht="15.75" customHeight="1">
      <c r="A102" s="1891"/>
      <c r="B102" s="1899"/>
      <c r="C102" s="110">
        <v>2018</v>
      </c>
      <c r="D102" s="37"/>
      <c r="E102" s="38"/>
      <c r="F102" s="177"/>
      <c r="G102" s="178"/>
      <c r="H102" s="178"/>
      <c r="I102" s="178"/>
      <c r="J102" s="178"/>
      <c r="K102" s="178"/>
      <c r="L102" s="178"/>
      <c r="M102" s="179"/>
      <c r="N102" s="165"/>
      <c r="O102" s="165"/>
      <c r="P102" s="165"/>
    </row>
    <row r="103" spans="1:16" ht="14.25" customHeight="1">
      <c r="A103" s="1891"/>
      <c r="B103" s="1899"/>
      <c r="C103" s="110">
        <v>2019</v>
      </c>
      <c r="D103" s="37"/>
      <c r="E103" s="38"/>
      <c r="F103" s="177"/>
      <c r="G103" s="178"/>
      <c r="H103" s="178"/>
      <c r="I103" s="178"/>
      <c r="J103" s="178"/>
      <c r="K103" s="178"/>
      <c r="L103" s="178"/>
      <c r="M103" s="179"/>
      <c r="N103" s="165"/>
      <c r="O103" s="165"/>
      <c r="P103" s="165"/>
    </row>
    <row r="104" spans="1:16" ht="14.25" customHeight="1">
      <c r="A104" s="1891"/>
      <c r="B104" s="1899"/>
      <c r="C104" s="110">
        <v>2020</v>
      </c>
      <c r="D104" s="37"/>
      <c r="E104" s="38"/>
      <c r="F104" s="177"/>
      <c r="G104" s="178"/>
      <c r="H104" s="178"/>
      <c r="I104" s="178"/>
      <c r="J104" s="178"/>
      <c r="K104" s="178"/>
      <c r="L104" s="178"/>
      <c r="M104" s="179"/>
      <c r="N104" s="165"/>
      <c r="O104" s="165"/>
      <c r="P104" s="165"/>
    </row>
    <row r="105" spans="1:16" ht="19.5" customHeight="1" thickBot="1">
      <c r="A105" s="1915"/>
      <c r="B105" s="1900"/>
      <c r="C105" s="113" t="s">
        <v>13</v>
      </c>
      <c r="D105" s="139">
        <f>SUM(D98:D104)</f>
        <v>0</v>
      </c>
      <c r="E105" s="116">
        <f t="shared" ref="E105:K105" si="8">SUM(E98:E104)</f>
        <v>0</v>
      </c>
      <c r="F105" s="180">
        <f t="shared" si="8"/>
        <v>0</v>
      </c>
      <c r="G105" s="181">
        <f t="shared" si="8"/>
        <v>0</v>
      </c>
      <c r="H105" s="181">
        <f t="shared" si="8"/>
        <v>0</v>
      </c>
      <c r="I105" s="181">
        <f>SUM(I98:I104)</f>
        <v>0</v>
      </c>
      <c r="J105" s="181">
        <f t="shared" si="8"/>
        <v>0</v>
      </c>
      <c r="K105" s="181">
        <f t="shared" si="8"/>
        <v>0</v>
      </c>
      <c r="L105" s="181">
        <f>SUM(L98:L104)</f>
        <v>0</v>
      </c>
      <c r="M105" s="182">
        <f>SUM(M98:M104)</f>
        <v>0</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405" t="s">
        <v>77</v>
      </c>
      <c r="B107" s="2407" t="s">
        <v>179</v>
      </c>
      <c r="C107" s="2413" t="s">
        <v>9</v>
      </c>
      <c r="D107" s="2414" t="s">
        <v>78</v>
      </c>
      <c r="E107" s="162" t="s">
        <v>79</v>
      </c>
      <c r="F107" s="1548"/>
      <c r="G107" s="1548"/>
      <c r="H107" s="1548"/>
      <c r="I107" s="1548"/>
      <c r="J107" s="1548"/>
      <c r="K107" s="1548"/>
      <c r="L107" s="1549"/>
      <c r="M107" s="185"/>
      <c r="N107" s="185"/>
    </row>
    <row r="108" spans="1:16" ht="103.5"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1898"/>
      <c r="B109" s="1899"/>
      <c r="C109" s="106">
        <v>2014</v>
      </c>
      <c r="D109" s="31"/>
      <c r="E109" s="174"/>
      <c r="F109" s="175"/>
      <c r="G109" s="175"/>
      <c r="H109" s="175"/>
      <c r="I109" s="175"/>
      <c r="J109" s="175"/>
      <c r="K109" s="175"/>
      <c r="L109" s="176"/>
      <c r="M109" s="185"/>
      <c r="N109" s="185"/>
    </row>
    <row r="110" spans="1:16">
      <c r="A110" s="1891"/>
      <c r="B110" s="1899"/>
      <c r="C110" s="110">
        <v>2015</v>
      </c>
      <c r="D110" s="38"/>
      <c r="E110" s="177"/>
      <c r="F110" s="178"/>
      <c r="G110" s="178"/>
      <c r="H110" s="178"/>
      <c r="I110" s="178"/>
      <c r="J110" s="178"/>
      <c r="K110" s="178"/>
      <c r="L110" s="179"/>
      <c r="M110" s="185"/>
      <c r="N110" s="185"/>
    </row>
    <row r="111" spans="1:16">
      <c r="A111" s="1891"/>
      <c r="B111" s="1899"/>
      <c r="C111" s="110">
        <v>2016</v>
      </c>
      <c r="D111" s="38"/>
      <c r="E111" s="177"/>
      <c r="F111" s="178"/>
      <c r="G111" s="178"/>
      <c r="H111" s="178"/>
      <c r="I111" s="178"/>
      <c r="J111" s="178"/>
      <c r="K111" s="178"/>
      <c r="L111" s="179"/>
      <c r="M111" s="185"/>
      <c r="N111" s="185"/>
    </row>
    <row r="112" spans="1:16">
      <c r="A112" s="1891"/>
      <c r="B112" s="1899"/>
      <c r="C112" s="110">
        <v>2017</v>
      </c>
      <c r="D112" s="38"/>
      <c r="E112" s="177"/>
      <c r="F112" s="178"/>
      <c r="G112" s="178"/>
      <c r="H112" s="178"/>
      <c r="I112" s="178"/>
      <c r="J112" s="178"/>
      <c r="K112" s="178"/>
      <c r="L112" s="179"/>
      <c r="M112" s="185"/>
      <c r="N112" s="185"/>
    </row>
    <row r="113" spans="1:14">
      <c r="A113" s="1891"/>
      <c r="B113" s="1899"/>
      <c r="C113" s="110">
        <v>2018</v>
      </c>
      <c r="D113" s="38"/>
      <c r="E113" s="177"/>
      <c r="F113" s="178"/>
      <c r="G113" s="178"/>
      <c r="H113" s="178"/>
      <c r="I113" s="178"/>
      <c r="J113" s="178"/>
      <c r="K113" s="178"/>
      <c r="L113" s="179"/>
      <c r="M113" s="185"/>
      <c r="N113" s="185"/>
    </row>
    <row r="114" spans="1:14">
      <c r="A114" s="1891"/>
      <c r="B114" s="1899"/>
      <c r="C114" s="110">
        <v>2019</v>
      </c>
      <c r="D114" s="38"/>
      <c r="E114" s="177"/>
      <c r="F114" s="178"/>
      <c r="G114" s="178"/>
      <c r="H114" s="178"/>
      <c r="I114" s="178"/>
      <c r="J114" s="178"/>
      <c r="K114" s="178"/>
      <c r="L114" s="179"/>
      <c r="M114" s="185"/>
      <c r="N114" s="185"/>
    </row>
    <row r="115" spans="1:14">
      <c r="A115" s="1891"/>
      <c r="B115" s="1899"/>
      <c r="C115" s="110">
        <v>2020</v>
      </c>
      <c r="D115" s="38"/>
      <c r="E115" s="177"/>
      <c r="F115" s="178"/>
      <c r="G115" s="178"/>
      <c r="H115" s="178"/>
      <c r="I115" s="178"/>
      <c r="J115" s="178"/>
      <c r="K115" s="178"/>
      <c r="L115" s="179"/>
      <c r="M115" s="185"/>
      <c r="N115" s="185"/>
    </row>
    <row r="116" spans="1:14" ht="25.5" customHeight="1" thickBot="1">
      <c r="A116" s="1915"/>
      <c r="B116" s="1900"/>
      <c r="C116" s="113" t="s">
        <v>13</v>
      </c>
      <c r="D116" s="116">
        <f t="shared" ref="D116:I116" si="9">SUM(D109:D115)</f>
        <v>0</v>
      </c>
      <c r="E116" s="180">
        <f t="shared" si="9"/>
        <v>0</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405" t="s">
        <v>81</v>
      </c>
      <c r="B118" s="2407" t="s">
        <v>179</v>
      </c>
      <c r="C118" s="2413" t="s">
        <v>9</v>
      </c>
      <c r="D118" s="2414" t="s">
        <v>82</v>
      </c>
      <c r="E118" s="162" t="s">
        <v>79</v>
      </c>
      <c r="F118" s="1548"/>
      <c r="G118" s="1548"/>
      <c r="H118" s="1548"/>
      <c r="I118" s="1548"/>
      <c r="J118" s="1548"/>
      <c r="K118" s="1548"/>
      <c r="L118" s="1549"/>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1898"/>
      <c r="B120" s="1899"/>
      <c r="C120" s="106">
        <v>2014</v>
      </c>
      <c r="D120" s="31"/>
      <c r="E120" s="174"/>
      <c r="F120" s="175"/>
      <c r="G120" s="175"/>
      <c r="H120" s="175"/>
      <c r="I120" s="175"/>
      <c r="J120" s="175"/>
      <c r="K120" s="175"/>
      <c r="L120" s="176"/>
      <c r="M120" s="185"/>
      <c r="N120" s="185"/>
    </row>
    <row r="121" spans="1:14">
      <c r="A121" s="1891"/>
      <c r="B121" s="1899"/>
      <c r="C121" s="110">
        <v>2015</v>
      </c>
      <c r="D121" s="38"/>
      <c r="E121" s="177"/>
      <c r="F121" s="178"/>
      <c r="G121" s="178"/>
      <c r="H121" s="178"/>
      <c r="I121" s="178"/>
      <c r="J121" s="178"/>
      <c r="K121" s="178"/>
      <c r="L121" s="179"/>
      <c r="M121" s="185"/>
      <c r="N121" s="185"/>
    </row>
    <row r="122" spans="1:14">
      <c r="A122" s="1891"/>
      <c r="B122" s="1899"/>
      <c r="C122" s="110">
        <v>2016</v>
      </c>
      <c r="D122" s="38"/>
      <c r="E122" s="177"/>
      <c r="F122" s="178"/>
      <c r="G122" s="178"/>
      <c r="H122" s="178"/>
      <c r="I122" s="178"/>
      <c r="J122" s="178"/>
      <c r="K122" s="178"/>
      <c r="L122" s="179"/>
      <c r="M122" s="185"/>
      <c r="N122" s="185"/>
    </row>
    <row r="123" spans="1:14">
      <c r="A123" s="1891"/>
      <c r="B123" s="1899"/>
      <c r="C123" s="110">
        <v>2017</v>
      </c>
      <c r="D123" s="38"/>
      <c r="E123" s="177"/>
      <c r="F123" s="178"/>
      <c r="G123" s="178"/>
      <c r="H123" s="178"/>
      <c r="I123" s="178"/>
      <c r="J123" s="178"/>
      <c r="K123" s="178"/>
      <c r="L123" s="179"/>
      <c r="M123" s="185"/>
      <c r="N123" s="185"/>
    </row>
    <row r="124" spans="1:14">
      <c r="A124" s="1891"/>
      <c r="B124" s="1899"/>
      <c r="C124" s="110">
        <v>2018</v>
      </c>
      <c r="D124" s="38"/>
      <c r="E124" s="177"/>
      <c r="F124" s="178"/>
      <c r="G124" s="178"/>
      <c r="H124" s="178"/>
      <c r="I124" s="178"/>
      <c r="J124" s="178"/>
      <c r="K124" s="178"/>
      <c r="L124" s="179"/>
      <c r="M124" s="185"/>
      <c r="N124" s="185"/>
    </row>
    <row r="125" spans="1:14">
      <c r="A125" s="1891"/>
      <c r="B125" s="1899"/>
      <c r="C125" s="110">
        <v>2019</v>
      </c>
      <c r="D125" s="38"/>
      <c r="E125" s="177"/>
      <c r="F125" s="178"/>
      <c r="G125" s="178"/>
      <c r="H125" s="178"/>
      <c r="I125" s="178"/>
      <c r="J125" s="178"/>
      <c r="K125" s="178"/>
      <c r="L125" s="179"/>
      <c r="M125" s="185"/>
      <c r="N125" s="185"/>
    </row>
    <row r="126" spans="1:14">
      <c r="A126" s="1891"/>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405" t="s">
        <v>84</v>
      </c>
      <c r="B129" s="2407" t="s">
        <v>179</v>
      </c>
      <c r="C129" s="1550" t="s">
        <v>9</v>
      </c>
      <c r="D129" s="189" t="s">
        <v>85</v>
      </c>
      <c r="E129" s="1551"/>
      <c r="F129" s="1551"/>
      <c r="G129" s="191"/>
      <c r="H129" s="185"/>
      <c r="I129" s="185"/>
      <c r="J129" s="185"/>
      <c r="K129" s="185"/>
      <c r="L129" s="185"/>
      <c r="M129" s="185"/>
      <c r="N129" s="185"/>
    </row>
    <row r="130" spans="1:16" ht="77.25" customHeight="1">
      <c r="A130" s="1910"/>
      <c r="B130" s="1912"/>
      <c r="C130" s="1528"/>
      <c r="D130" s="166" t="s">
        <v>86</v>
      </c>
      <c r="E130" s="193" t="s">
        <v>87</v>
      </c>
      <c r="F130" s="167" t="s">
        <v>88</v>
      </c>
      <c r="G130" s="194" t="s">
        <v>13</v>
      </c>
      <c r="H130" s="185"/>
      <c r="I130" s="185"/>
      <c r="J130" s="185"/>
      <c r="K130" s="185"/>
      <c r="L130" s="185"/>
      <c r="M130" s="185"/>
      <c r="N130" s="185"/>
    </row>
    <row r="131" spans="1:16" ht="15" customHeight="1">
      <c r="A131" s="1874"/>
      <c r="B131" s="1855"/>
      <c r="C131" s="106">
        <v>2015</v>
      </c>
      <c r="D131" s="30"/>
      <c r="E131" s="31"/>
      <c r="F131" s="31"/>
      <c r="G131" s="195">
        <f t="shared" ref="G131:G136" si="11">SUM(D131:F131)</f>
        <v>0</v>
      </c>
      <c r="H131" s="185"/>
      <c r="I131" s="185"/>
      <c r="J131" s="185"/>
      <c r="K131" s="185"/>
      <c r="L131" s="185"/>
      <c r="M131" s="185"/>
      <c r="N131" s="185"/>
    </row>
    <row r="132" spans="1:16">
      <c r="A132" s="1854"/>
      <c r="B132" s="1855"/>
      <c r="C132" s="110">
        <v>2016</v>
      </c>
      <c r="D132" s="37"/>
      <c r="E132" s="38"/>
      <c r="F132" s="38"/>
      <c r="G132" s="195">
        <f t="shared" si="11"/>
        <v>0</v>
      </c>
      <c r="H132" s="185"/>
      <c r="I132" s="185"/>
      <c r="J132" s="185"/>
      <c r="K132" s="185"/>
      <c r="L132" s="185"/>
      <c r="M132" s="185"/>
      <c r="N132" s="185"/>
    </row>
    <row r="133" spans="1:16">
      <c r="A133" s="1854"/>
      <c r="B133" s="1855"/>
      <c r="C133" s="110">
        <v>2017</v>
      </c>
      <c r="D133" s="37"/>
      <c r="E133" s="38"/>
      <c r="F133" s="38"/>
      <c r="G133" s="195">
        <f t="shared" si="11"/>
        <v>0</v>
      </c>
      <c r="H133" s="185"/>
      <c r="I133" s="185"/>
      <c r="J133" s="185"/>
      <c r="K133" s="185"/>
      <c r="L133" s="185"/>
      <c r="M133" s="185"/>
      <c r="N133" s="185"/>
    </row>
    <row r="134" spans="1:16">
      <c r="A134" s="1854"/>
      <c r="B134" s="1855"/>
      <c r="C134" s="110">
        <v>2018</v>
      </c>
      <c r="D134" s="37"/>
      <c r="E134" s="38"/>
      <c r="F134" s="38"/>
      <c r="G134" s="195">
        <f t="shared" si="11"/>
        <v>0</v>
      </c>
      <c r="H134" s="185"/>
      <c r="I134" s="185"/>
      <c r="J134" s="185"/>
      <c r="K134" s="185"/>
      <c r="L134" s="185"/>
      <c r="M134" s="185"/>
      <c r="N134" s="185"/>
    </row>
    <row r="135" spans="1:16">
      <c r="A135" s="1854"/>
      <c r="B135" s="1855"/>
      <c r="C135" s="110">
        <v>2019</v>
      </c>
      <c r="D135" s="37"/>
      <c r="E135" s="38"/>
      <c r="F135" s="38"/>
      <c r="G135" s="195">
        <f t="shared" si="11"/>
        <v>0</v>
      </c>
      <c r="H135" s="185"/>
      <c r="I135" s="185"/>
      <c r="J135" s="185"/>
      <c r="K135" s="185"/>
      <c r="L135" s="185"/>
      <c r="M135" s="185"/>
      <c r="N135" s="185"/>
    </row>
    <row r="136" spans="1:16">
      <c r="A136" s="1854"/>
      <c r="B136" s="1855"/>
      <c r="C136" s="110">
        <v>2020</v>
      </c>
      <c r="D136" s="37"/>
      <c r="E136" s="38"/>
      <c r="F136" s="38"/>
      <c r="G136" s="195">
        <f t="shared" si="11"/>
        <v>0</v>
      </c>
      <c r="H136" s="185"/>
      <c r="I136" s="185"/>
      <c r="J136" s="185"/>
      <c r="K136" s="185"/>
      <c r="L136" s="185"/>
      <c r="M136" s="185"/>
      <c r="N136" s="185"/>
    </row>
    <row r="137" spans="1:16" ht="17.25" customHeight="1" thickBot="1">
      <c r="A137" s="1856"/>
      <c r="B137" s="1857"/>
      <c r="C137" s="113" t="s">
        <v>13</v>
      </c>
      <c r="D137" s="139">
        <f>SUM(D131:D136)</f>
        <v>0</v>
      </c>
      <c r="E137" s="139">
        <f t="shared" ref="E137:F137" si="12">SUM(E131:E136)</f>
        <v>0</v>
      </c>
      <c r="F137" s="139">
        <f t="shared" si="12"/>
        <v>0</v>
      </c>
      <c r="G137" s="196">
        <f>SUM(G131:G136)</f>
        <v>0</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409" t="s">
        <v>91</v>
      </c>
      <c r="B142" s="2402" t="s">
        <v>179</v>
      </c>
      <c r="C142" s="2404" t="s">
        <v>9</v>
      </c>
      <c r="D142" s="1555" t="s">
        <v>92</v>
      </c>
      <c r="E142" s="1556"/>
      <c r="F142" s="1556"/>
      <c r="G142" s="1556"/>
      <c r="H142" s="1556"/>
      <c r="I142" s="1557"/>
      <c r="J142" s="2396" t="s">
        <v>93</v>
      </c>
      <c r="K142" s="2397"/>
      <c r="L142" s="2397"/>
      <c r="M142" s="2397"/>
      <c r="N142" s="2398"/>
      <c r="O142" s="165"/>
      <c r="P142" s="165"/>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c r="B144" s="1899"/>
      <c r="C144" s="106">
        <v>2014</v>
      </c>
      <c r="D144" s="30"/>
      <c r="E144" s="30"/>
      <c r="F144" s="31"/>
      <c r="G144" s="175"/>
      <c r="H144" s="175"/>
      <c r="I144" s="213">
        <f>D144+F144+G144+H144</f>
        <v>0</v>
      </c>
      <c r="J144" s="214"/>
      <c r="K144" s="215"/>
      <c r="L144" s="214"/>
      <c r="M144" s="215"/>
      <c r="N144" s="216"/>
      <c r="O144" s="165"/>
      <c r="P144" s="165"/>
    </row>
    <row r="145" spans="1:16" ht="19.5" customHeight="1">
      <c r="A145" s="1891"/>
      <c r="B145" s="1899"/>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1891"/>
      <c r="B146" s="1899"/>
      <c r="C146" s="110">
        <v>2016</v>
      </c>
      <c r="D146" s="37"/>
      <c r="E146" s="37"/>
      <c r="F146" s="38"/>
      <c r="G146" s="178"/>
      <c r="H146" s="178"/>
      <c r="I146" s="213">
        <f t="shared" si="13"/>
        <v>0</v>
      </c>
      <c r="J146" s="217"/>
      <c r="K146" s="218"/>
      <c r="L146" s="217"/>
      <c r="M146" s="218"/>
      <c r="N146" s="219"/>
      <c r="O146" s="165"/>
      <c r="P146" s="165"/>
    </row>
    <row r="147" spans="1:16" ht="17.25" customHeight="1">
      <c r="A147" s="1891"/>
      <c r="B147" s="1899"/>
      <c r="C147" s="110">
        <v>2017</v>
      </c>
      <c r="D147" s="37"/>
      <c r="E147" s="37"/>
      <c r="F147" s="38"/>
      <c r="G147" s="178"/>
      <c r="H147" s="178"/>
      <c r="I147" s="213">
        <f t="shared" si="13"/>
        <v>0</v>
      </c>
      <c r="J147" s="217"/>
      <c r="K147" s="218"/>
      <c r="L147" s="217"/>
      <c r="M147" s="218"/>
      <c r="N147" s="219"/>
      <c r="O147" s="165"/>
      <c r="P147" s="165"/>
    </row>
    <row r="148" spans="1:16" ht="19.5" customHeight="1">
      <c r="A148" s="1891"/>
      <c r="B148" s="1899"/>
      <c r="C148" s="110">
        <v>2018</v>
      </c>
      <c r="D148" s="37"/>
      <c r="E148" s="37"/>
      <c r="F148" s="38"/>
      <c r="G148" s="178"/>
      <c r="H148" s="178"/>
      <c r="I148" s="213">
        <f t="shared" si="13"/>
        <v>0</v>
      </c>
      <c r="J148" s="217"/>
      <c r="K148" s="218"/>
      <c r="L148" s="217"/>
      <c r="M148" s="218"/>
      <c r="N148" s="219"/>
      <c r="O148" s="165"/>
      <c r="P148" s="165"/>
    </row>
    <row r="149" spans="1:16" ht="19.5" customHeight="1">
      <c r="A149" s="1891"/>
      <c r="B149" s="1899"/>
      <c r="C149" s="110">
        <v>2019</v>
      </c>
      <c r="D149" s="37"/>
      <c r="E149" s="37"/>
      <c r="F149" s="38"/>
      <c r="G149" s="178"/>
      <c r="H149" s="178"/>
      <c r="I149" s="213">
        <f t="shared" si="13"/>
        <v>0</v>
      </c>
      <c r="J149" s="217"/>
      <c r="K149" s="218"/>
      <c r="L149" s="217"/>
      <c r="M149" s="218"/>
      <c r="N149" s="219"/>
      <c r="O149" s="165"/>
      <c r="P149" s="165"/>
    </row>
    <row r="150" spans="1:16" ht="18.75" customHeight="1">
      <c r="A150" s="1891"/>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2400" t="s">
        <v>105</v>
      </c>
      <c r="B153" s="2402" t="s">
        <v>179</v>
      </c>
      <c r="C153" s="2403" t="s">
        <v>9</v>
      </c>
      <c r="D153" s="1563" t="s">
        <v>106</v>
      </c>
      <c r="E153" s="1563"/>
      <c r="F153" s="1564"/>
      <c r="G153" s="1564"/>
      <c r="H153" s="1563" t="s">
        <v>107</v>
      </c>
      <c r="I153" s="1563"/>
      <c r="J153" s="1565"/>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1898"/>
      <c r="B155" s="1899"/>
      <c r="C155" s="233">
        <v>2014</v>
      </c>
      <c r="D155" s="214"/>
      <c r="E155" s="175"/>
      <c r="F155" s="215"/>
      <c r="G155" s="213">
        <f>SUM(D155:F155)</f>
        <v>0</v>
      </c>
      <c r="H155" s="214"/>
      <c r="I155" s="175"/>
      <c r="J155" s="176"/>
      <c r="O155" s="165"/>
      <c r="P155" s="165"/>
    </row>
    <row r="156" spans="1:16" ht="19.5" customHeight="1">
      <c r="A156" s="1891"/>
      <c r="B156" s="1899"/>
      <c r="C156" s="234">
        <v>2015</v>
      </c>
      <c r="D156" s="217"/>
      <c r="E156" s="178"/>
      <c r="F156" s="218"/>
      <c r="G156" s="213">
        <f t="shared" ref="G156:G161" si="15">SUM(D156:F156)</f>
        <v>0</v>
      </c>
      <c r="H156" s="217"/>
      <c r="I156" s="178"/>
      <c r="J156" s="179"/>
      <c r="O156" s="165"/>
      <c r="P156" s="165"/>
    </row>
    <row r="157" spans="1:16" ht="17.25" customHeight="1">
      <c r="A157" s="1891"/>
      <c r="B157" s="1899"/>
      <c r="C157" s="234">
        <v>2016</v>
      </c>
      <c r="D157" s="217"/>
      <c r="E157" s="178"/>
      <c r="F157" s="218"/>
      <c r="G157" s="213">
        <f t="shared" si="15"/>
        <v>0</v>
      </c>
      <c r="H157" s="217"/>
      <c r="I157" s="178"/>
      <c r="J157" s="179"/>
      <c r="O157" s="165"/>
      <c r="P157" s="165"/>
    </row>
    <row r="158" spans="1:16" ht="15" customHeight="1">
      <c r="A158" s="1891"/>
      <c r="B158" s="1899"/>
      <c r="C158" s="234">
        <v>2017</v>
      </c>
      <c r="D158" s="217"/>
      <c r="E158" s="178"/>
      <c r="F158" s="218"/>
      <c r="G158" s="213">
        <f t="shared" si="15"/>
        <v>0</v>
      </c>
      <c r="H158" s="217"/>
      <c r="I158" s="178"/>
      <c r="J158" s="179"/>
      <c r="O158" s="165"/>
      <c r="P158" s="165"/>
    </row>
    <row r="159" spans="1:16" ht="19.5" customHeight="1">
      <c r="A159" s="1891"/>
      <c r="B159" s="1899"/>
      <c r="C159" s="234">
        <v>2018</v>
      </c>
      <c r="D159" s="217"/>
      <c r="E159" s="178"/>
      <c r="F159" s="218"/>
      <c r="G159" s="213">
        <f t="shared" si="15"/>
        <v>0</v>
      </c>
      <c r="H159" s="217"/>
      <c r="I159" s="178"/>
      <c r="J159" s="179"/>
      <c r="O159" s="165"/>
      <c r="P159" s="165"/>
    </row>
    <row r="160" spans="1:16" ht="15" customHeight="1">
      <c r="A160" s="1891"/>
      <c r="B160" s="1899"/>
      <c r="C160" s="234">
        <v>2019</v>
      </c>
      <c r="D160" s="217"/>
      <c r="E160" s="178"/>
      <c r="F160" s="218"/>
      <c r="G160" s="213">
        <f t="shared" si="15"/>
        <v>0</v>
      </c>
      <c r="H160" s="217"/>
      <c r="I160" s="178"/>
      <c r="J160" s="179"/>
      <c r="O160" s="165"/>
      <c r="P160" s="165"/>
    </row>
    <row r="161" spans="1:18" ht="17.25" customHeight="1">
      <c r="A161" s="1891"/>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1566"/>
      <c r="F163" s="165"/>
      <c r="G163" s="165"/>
      <c r="H163" s="165"/>
      <c r="I163" s="165"/>
      <c r="J163" s="241"/>
      <c r="K163" s="242"/>
    </row>
    <row r="164" spans="1:18" ht="95.25" customHeight="1">
      <c r="A164" s="243" t="s">
        <v>115</v>
      </c>
      <c r="B164" s="405" t="s">
        <v>181</v>
      </c>
      <c r="C164" s="1567" t="s">
        <v>9</v>
      </c>
      <c r="D164" s="246" t="s">
        <v>117</v>
      </c>
      <c r="E164" s="246" t="s">
        <v>118</v>
      </c>
      <c r="F164" s="1568" t="s">
        <v>119</v>
      </c>
      <c r="G164" s="246" t="s">
        <v>120</v>
      </c>
      <c r="H164" s="246" t="s">
        <v>121</v>
      </c>
      <c r="I164" s="248" t="s">
        <v>122</v>
      </c>
      <c r="J164" s="249" t="s">
        <v>123</v>
      </c>
      <c r="K164" s="249" t="s">
        <v>124</v>
      </c>
      <c r="L164" s="1531"/>
    </row>
    <row r="165" spans="1:18" ht="15.75" customHeight="1">
      <c r="A165" s="1878"/>
      <c r="B165" s="1879"/>
      <c r="C165" s="251">
        <v>2014</v>
      </c>
      <c r="D165" s="175"/>
      <c r="E165" s="175"/>
      <c r="F165" s="175"/>
      <c r="G165" s="175"/>
      <c r="H165" s="175"/>
      <c r="I165" s="176"/>
      <c r="J165" s="252">
        <f>SUM(D165,F165,H165)</f>
        <v>0</v>
      </c>
      <c r="K165" s="253">
        <f>SUM(E165,G165,I165)</f>
        <v>0</v>
      </c>
      <c r="L165" s="1531"/>
    </row>
    <row r="166" spans="1:18">
      <c r="A166" s="1880"/>
      <c r="B166" s="1881"/>
      <c r="C166" s="254">
        <v>2015</v>
      </c>
      <c r="D166" s="255"/>
      <c r="E166" s="255"/>
      <c r="F166" s="255"/>
      <c r="G166" s="255"/>
      <c r="H166" s="255"/>
      <c r="I166" s="256"/>
      <c r="J166" s="407">
        <f t="shared" ref="J166:K171" si="17">SUM(D166,F166,H166)</f>
        <v>0</v>
      </c>
      <c r="K166" s="408">
        <f t="shared" si="17"/>
        <v>0</v>
      </c>
      <c r="L166" s="1531"/>
    </row>
    <row r="167" spans="1:18">
      <c r="A167" s="1880"/>
      <c r="B167" s="1881"/>
      <c r="C167" s="254">
        <v>2016</v>
      </c>
      <c r="D167" s="255"/>
      <c r="E167" s="255"/>
      <c r="F167" s="255"/>
      <c r="G167" s="255"/>
      <c r="H167" s="255"/>
      <c r="I167" s="256"/>
      <c r="J167" s="407">
        <f t="shared" si="17"/>
        <v>0</v>
      </c>
      <c r="K167" s="408">
        <f t="shared" si="17"/>
        <v>0</v>
      </c>
    </row>
    <row r="168" spans="1:18">
      <c r="A168" s="1880"/>
      <c r="B168" s="1881"/>
      <c r="C168" s="254">
        <v>2017</v>
      </c>
      <c r="D168" s="255"/>
      <c r="E168" s="165"/>
      <c r="F168" s="255"/>
      <c r="G168" s="255"/>
      <c r="H168" s="255"/>
      <c r="I168" s="256"/>
      <c r="J168" s="407">
        <f t="shared" si="17"/>
        <v>0</v>
      </c>
      <c r="K168" s="408">
        <f t="shared" si="17"/>
        <v>0</v>
      </c>
    </row>
    <row r="169" spans="1:18">
      <c r="A169" s="1880"/>
      <c r="B169" s="1881"/>
      <c r="C169" s="262">
        <v>2018</v>
      </c>
      <c r="D169" s="255"/>
      <c r="E169" s="255"/>
      <c r="F169" s="255"/>
      <c r="G169" s="263"/>
      <c r="H169" s="255"/>
      <c r="I169" s="256"/>
      <c r="J169" s="407">
        <f t="shared" si="17"/>
        <v>0</v>
      </c>
      <c r="K169" s="408">
        <f t="shared" si="17"/>
        <v>0</v>
      </c>
      <c r="L169" s="1531"/>
    </row>
    <row r="170" spans="1:18">
      <c r="A170" s="1880"/>
      <c r="B170" s="1881"/>
      <c r="C170" s="254">
        <v>2019</v>
      </c>
      <c r="D170" s="165"/>
      <c r="E170" s="255"/>
      <c r="F170" s="255"/>
      <c r="G170" s="255"/>
      <c r="H170" s="263"/>
      <c r="I170" s="256"/>
      <c r="J170" s="407">
        <f t="shared" si="17"/>
        <v>0</v>
      </c>
      <c r="K170" s="408">
        <f t="shared" si="17"/>
        <v>0</v>
      </c>
      <c r="L170" s="1531"/>
    </row>
    <row r="171" spans="1:18">
      <c r="A171" s="1880"/>
      <c r="B171" s="1881"/>
      <c r="C171" s="262">
        <v>2020</v>
      </c>
      <c r="D171" s="255"/>
      <c r="E171" s="255"/>
      <c r="F171" s="255"/>
      <c r="G171" s="255"/>
      <c r="H171" s="255"/>
      <c r="I171" s="256"/>
      <c r="J171" s="407">
        <f t="shared" si="17"/>
        <v>0</v>
      </c>
      <c r="K171" s="408">
        <f t="shared" si="17"/>
        <v>0</v>
      </c>
      <c r="L171" s="1531"/>
    </row>
    <row r="172" spans="1:18" ht="41.25" customHeight="1" thickBot="1">
      <c r="A172" s="1882"/>
      <c r="B172" s="1883"/>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1531"/>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389" t="s">
        <v>127</v>
      </c>
      <c r="B176" s="2380" t="s">
        <v>182</v>
      </c>
      <c r="C176" s="2391" t="s">
        <v>9</v>
      </c>
      <c r="D176" s="273" t="s">
        <v>128</v>
      </c>
      <c r="E176" s="1572"/>
      <c r="F176" s="1572"/>
      <c r="G176" s="1573"/>
      <c r="H176" s="276"/>
      <c r="I176" s="1888" t="s">
        <v>129</v>
      </c>
      <c r="J176" s="2393"/>
      <c r="K176" s="2393"/>
      <c r="L176" s="2393"/>
      <c r="M176" s="2393"/>
      <c r="N176" s="2393"/>
      <c r="O176" s="2394"/>
    </row>
    <row r="177" spans="1:15" s="56" customFormat="1" ht="129.7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1891" t="s">
        <v>449</v>
      </c>
      <c r="B178" s="1899"/>
      <c r="C178" s="106">
        <v>2014</v>
      </c>
      <c r="D178" s="30"/>
      <c r="E178" s="31"/>
      <c r="F178" s="31"/>
      <c r="G178" s="284">
        <f>SUM(D178:F178)</f>
        <v>0</v>
      </c>
      <c r="H178" s="155"/>
      <c r="I178" s="155"/>
      <c r="J178" s="31"/>
      <c r="K178" s="31"/>
      <c r="L178" s="31"/>
      <c r="M178" s="31"/>
      <c r="N178" s="31"/>
      <c r="O178" s="34"/>
    </row>
    <row r="179" spans="1:15">
      <c r="A179" s="1891"/>
      <c r="B179" s="1899"/>
      <c r="C179" s="110">
        <v>2015</v>
      </c>
      <c r="D179" s="37"/>
      <c r="E179" s="38"/>
      <c r="F179" s="38"/>
      <c r="G179" s="284">
        <f t="shared" ref="G179:G184" si="19">SUM(D179:F179)</f>
        <v>0</v>
      </c>
      <c r="H179" s="411"/>
      <c r="I179" s="112"/>
      <c r="J179" s="38"/>
      <c r="K179" s="38"/>
      <c r="L179" s="38"/>
      <c r="M179" s="38"/>
      <c r="N179" s="38"/>
      <c r="O179" s="88"/>
    </row>
    <row r="180" spans="1:15">
      <c r="A180" s="1891"/>
      <c r="B180" s="1899"/>
      <c r="C180" s="110">
        <v>2016</v>
      </c>
      <c r="D180" s="37"/>
      <c r="E180" s="38"/>
      <c r="F180" s="38">
        <v>1</v>
      </c>
      <c r="G180" s="284">
        <f t="shared" si="19"/>
        <v>1</v>
      </c>
      <c r="H180" s="411">
        <v>3</v>
      </c>
      <c r="I180" s="112">
        <v>1</v>
      </c>
      <c r="J180" s="38"/>
      <c r="K180" s="38"/>
      <c r="L180" s="38"/>
      <c r="M180" s="38"/>
      <c r="N180" s="38"/>
      <c r="O180" s="88"/>
    </row>
    <row r="181" spans="1:15">
      <c r="A181" s="1891"/>
      <c r="B181" s="1899"/>
      <c r="C181" s="110">
        <v>2017</v>
      </c>
      <c r="D181" s="37">
        <v>35</v>
      </c>
      <c r="E181" s="38"/>
      <c r="F181" s="38">
        <v>2</v>
      </c>
      <c r="G181" s="284">
        <f t="shared" si="19"/>
        <v>37</v>
      </c>
      <c r="H181" s="411">
        <v>39</v>
      </c>
      <c r="I181" s="112">
        <v>37</v>
      </c>
      <c r="J181" s="38"/>
      <c r="K181" s="38"/>
      <c r="L181" s="38"/>
      <c r="M181" s="38"/>
      <c r="N181" s="38"/>
      <c r="O181" s="88"/>
    </row>
    <row r="182" spans="1:15">
      <c r="A182" s="1891"/>
      <c r="B182" s="1899"/>
      <c r="C182" s="110">
        <v>2018</v>
      </c>
      <c r="D182" s="37"/>
      <c r="E182" s="38"/>
      <c r="F182" s="38"/>
      <c r="G182" s="284">
        <f t="shared" si="19"/>
        <v>0</v>
      </c>
      <c r="H182" s="411"/>
      <c r="I182" s="112"/>
      <c r="J182" s="38"/>
      <c r="K182" s="38"/>
      <c r="L182" s="38"/>
      <c r="M182" s="38"/>
      <c r="N182" s="38"/>
      <c r="O182" s="88"/>
    </row>
    <row r="183" spans="1:15">
      <c r="A183" s="1891"/>
      <c r="B183" s="1899"/>
      <c r="C183" s="110">
        <v>2019</v>
      </c>
      <c r="D183" s="37"/>
      <c r="E183" s="38"/>
      <c r="F183" s="38"/>
      <c r="G183" s="284">
        <f t="shared" si="19"/>
        <v>0</v>
      </c>
      <c r="H183" s="411"/>
      <c r="I183" s="112"/>
      <c r="J183" s="38"/>
      <c r="K183" s="38"/>
      <c r="L183" s="38"/>
      <c r="M183" s="38"/>
      <c r="N183" s="38"/>
      <c r="O183" s="88"/>
    </row>
    <row r="184" spans="1:15">
      <c r="A184" s="1891"/>
      <c r="B184" s="1899"/>
      <c r="C184" s="110">
        <v>2020</v>
      </c>
      <c r="D184" s="37"/>
      <c r="E184" s="38"/>
      <c r="F184" s="38"/>
      <c r="G184" s="284">
        <f t="shared" si="19"/>
        <v>0</v>
      </c>
      <c r="H184" s="411"/>
      <c r="I184" s="112"/>
      <c r="J184" s="38"/>
      <c r="K184" s="38"/>
      <c r="L184" s="38"/>
      <c r="M184" s="38"/>
      <c r="N184" s="38"/>
      <c r="O184" s="88"/>
    </row>
    <row r="185" spans="1:15" ht="45" customHeight="1" thickBot="1">
      <c r="A185" s="1893"/>
      <c r="B185" s="1900"/>
      <c r="C185" s="113" t="s">
        <v>13</v>
      </c>
      <c r="D185" s="139">
        <f>SUM(D178:D184)</f>
        <v>35</v>
      </c>
      <c r="E185" s="116">
        <f>SUM(E178:E184)</f>
        <v>0</v>
      </c>
      <c r="F185" s="116">
        <f>SUM(F178:F184)</f>
        <v>3</v>
      </c>
      <c r="G185" s="220">
        <f t="shared" ref="G185:O185" si="20">SUM(G178:G184)</f>
        <v>38</v>
      </c>
      <c r="H185" s="285">
        <f t="shared" si="20"/>
        <v>42</v>
      </c>
      <c r="I185" s="115">
        <f t="shared" si="20"/>
        <v>38</v>
      </c>
      <c r="J185" s="116">
        <f t="shared" si="20"/>
        <v>0</v>
      </c>
      <c r="K185" s="116">
        <f t="shared" si="20"/>
        <v>0</v>
      </c>
      <c r="L185" s="116">
        <f t="shared" si="20"/>
        <v>0</v>
      </c>
      <c r="M185" s="116">
        <f t="shared" si="20"/>
        <v>0</v>
      </c>
      <c r="N185" s="116">
        <f t="shared" si="20"/>
        <v>0</v>
      </c>
      <c r="O185" s="117">
        <f t="shared" si="20"/>
        <v>0</v>
      </c>
    </row>
    <row r="186" spans="1:15" ht="33" customHeight="1" thickBot="1"/>
    <row r="187" spans="1:15" ht="19.5" customHeight="1">
      <c r="A187" s="1861" t="s">
        <v>137</v>
      </c>
      <c r="B187" s="2380" t="s">
        <v>182</v>
      </c>
      <c r="C187" s="1865" t="s">
        <v>9</v>
      </c>
      <c r="D187" s="1867" t="s">
        <v>138</v>
      </c>
      <c r="E187" s="2381"/>
      <c r="F187" s="2381"/>
      <c r="G187" s="1869"/>
      <c r="H187" s="1870"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1976" t="s">
        <v>450</v>
      </c>
      <c r="B189" s="1977"/>
      <c r="C189" s="290">
        <v>2014</v>
      </c>
      <c r="D189" s="133"/>
      <c r="E189" s="109"/>
      <c r="F189" s="109"/>
      <c r="G189" s="291">
        <f>SUM(D189:F189)</f>
        <v>0</v>
      </c>
      <c r="H189" s="108"/>
      <c r="I189" s="109"/>
      <c r="J189" s="109"/>
      <c r="K189" s="109"/>
      <c r="L189" s="134"/>
    </row>
    <row r="190" spans="1:15">
      <c r="A190" s="1978"/>
      <c r="B190" s="1855"/>
      <c r="C190" s="73">
        <v>2015</v>
      </c>
      <c r="D190" s="37"/>
      <c r="E190" s="38"/>
      <c r="F190" s="38"/>
      <c r="G190" s="291">
        <f t="shared" ref="G190:G195" si="21">SUM(D190:F190)</f>
        <v>0</v>
      </c>
      <c r="H190" s="112"/>
      <c r="I190" s="38"/>
      <c r="J190" s="38"/>
      <c r="K190" s="38"/>
      <c r="L190" s="88"/>
    </row>
    <row r="191" spans="1:15">
      <c r="A191" s="1978"/>
      <c r="B191" s="1855"/>
      <c r="C191" s="73">
        <v>2016</v>
      </c>
      <c r="D191" s="37"/>
      <c r="E191" s="38"/>
      <c r="F191" s="38">
        <v>50</v>
      </c>
      <c r="G191" s="291">
        <f t="shared" si="21"/>
        <v>50</v>
      </c>
      <c r="H191" s="112"/>
      <c r="I191" s="38"/>
      <c r="J191" s="38">
        <v>25</v>
      </c>
      <c r="K191" s="38"/>
      <c r="L191" s="88">
        <v>25</v>
      </c>
    </row>
    <row r="192" spans="1:15">
      <c r="A192" s="1978"/>
      <c r="B192" s="1855"/>
      <c r="C192" s="73">
        <v>2017</v>
      </c>
      <c r="D192" s="37">
        <v>525</v>
      </c>
      <c r="E192" s="38"/>
      <c r="F192" s="38">
        <v>60</v>
      </c>
      <c r="G192" s="291">
        <f t="shared" si="21"/>
        <v>585</v>
      </c>
      <c r="H192" s="112"/>
      <c r="I192" s="38"/>
      <c r="J192" s="38">
        <v>30</v>
      </c>
      <c r="K192" s="38"/>
      <c r="L192" s="88">
        <v>555</v>
      </c>
    </row>
    <row r="193" spans="1:14">
      <c r="A193" s="1978"/>
      <c r="B193" s="1855"/>
      <c r="C193" s="73">
        <v>2018</v>
      </c>
      <c r="D193" s="37"/>
      <c r="E193" s="38"/>
      <c r="F193" s="38"/>
      <c r="G193" s="291">
        <f t="shared" si="21"/>
        <v>0</v>
      </c>
      <c r="H193" s="112"/>
      <c r="I193" s="38"/>
      <c r="J193" s="38"/>
      <c r="K193" s="38"/>
      <c r="L193" s="88"/>
    </row>
    <row r="194" spans="1:14">
      <c r="A194" s="1978"/>
      <c r="B194" s="1855"/>
      <c r="C194" s="73">
        <v>2019</v>
      </c>
      <c r="D194" s="37"/>
      <c r="E194" s="38"/>
      <c r="F194" s="38"/>
      <c r="G194" s="291">
        <f t="shared" si="21"/>
        <v>0</v>
      </c>
      <c r="H194" s="112"/>
      <c r="I194" s="38"/>
      <c r="J194" s="38"/>
      <c r="K194" s="38"/>
      <c r="L194" s="88"/>
    </row>
    <row r="195" spans="1:14">
      <c r="A195" s="1978"/>
      <c r="B195" s="1855"/>
      <c r="C195" s="73">
        <v>2020</v>
      </c>
      <c r="D195" s="37"/>
      <c r="E195" s="38"/>
      <c r="F195" s="38"/>
      <c r="G195" s="291">
        <f t="shared" si="21"/>
        <v>0</v>
      </c>
      <c r="H195" s="112"/>
      <c r="I195" s="38"/>
      <c r="J195" s="38"/>
      <c r="K195" s="38"/>
      <c r="L195" s="88"/>
    </row>
    <row r="196" spans="1:14" ht="15.75" thickBot="1">
      <c r="A196" s="1979"/>
      <c r="B196" s="1857"/>
      <c r="C196" s="136" t="s">
        <v>13</v>
      </c>
      <c r="D196" s="139">
        <f t="shared" ref="D196:L196" si="22">SUM(D189:D195)</f>
        <v>525</v>
      </c>
      <c r="E196" s="116">
        <f t="shared" si="22"/>
        <v>0</v>
      </c>
      <c r="F196" s="116">
        <f t="shared" si="22"/>
        <v>110</v>
      </c>
      <c r="G196" s="292">
        <f t="shared" si="22"/>
        <v>635</v>
      </c>
      <c r="H196" s="115">
        <f t="shared" si="22"/>
        <v>0</v>
      </c>
      <c r="I196" s="116">
        <f t="shared" si="22"/>
        <v>0</v>
      </c>
      <c r="J196" s="116">
        <f t="shared" si="22"/>
        <v>55</v>
      </c>
      <c r="K196" s="116">
        <f t="shared" si="22"/>
        <v>0</v>
      </c>
      <c r="L196" s="117">
        <f t="shared" si="22"/>
        <v>580</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1574" t="s">
        <v>150</v>
      </c>
      <c r="B201" s="417" t="s">
        <v>182</v>
      </c>
      <c r="C201" s="298" t="s">
        <v>9</v>
      </c>
      <c r="D201" s="299" t="s">
        <v>151</v>
      </c>
      <c r="E201" s="300" t="s">
        <v>152</v>
      </c>
      <c r="F201" s="300" t="s">
        <v>153</v>
      </c>
      <c r="G201" s="298" t="s">
        <v>154</v>
      </c>
      <c r="H201" s="1575" t="s">
        <v>155</v>
      </c>
      <c r="I201" s="302" t="s">
        <v>156</v>
      </c>
      <c r="J201" s="303" t="s">
        <v>157</v>
      </c>
      <c r="K201" s="300" t="s">
        <v>158</v>
      </c>
      <c r="L201" s="304" t="s">
        <v>159</v>
      </c>
    </row>
    <row r="202" spans="1:14" ht="15" customHeight="1">
      <c r="A202" s="1854"/>
      <c r="B202" s="1855"/>
      <c r="C202" s="72">
        <v>2014</v>
      </c>
      <c r="D202" s="30"/>
      <c r="E202" s="31"/>
      <c r="F202" s="31"/>
      <c r="G202" s="29"/>
      <c r="H202" s="305"/>
      <c r="I202" s="306"/>
      <c r="J202" s="307"/>
      <c r="K202" s="31"/>
      <c r="L202" s="34"/>
    </row>
    <row r="203" spans="1:14">
      <c r="A203" s="1854"/>
      <c r="B203" s="1855"/>
      <c r="C203" s="73">
        <v>2015</v>
      </c>
      <c r="D203" s="37"/>
      <c r="E203" s="38"/>
      <c r="F203" s="38"/>
      <c r="G203" s="36"/>
      <c r="H203" s="308"/>
      <c r="I203" s="309"/>
      <c r="J203" s="310"/>
      <c r="K203" s="38"/>
      <c r="L203" s="88"/>
    </row>
    <row r="204" spans="1:14">
      <c r="A204" s="1854"/>
      <c r="B204" s="1855"/>
      <c r="C204" s="73">
        <v>2016</v>
      </c>
      <c r="D204" s="37"/>
      <c r="E204" s="38"/>
      <c r="F204" s="38"/>
      <c r="G204" s="36"/>
      <c r="H204" s="308"/>
      <c r="I204" s="309"/>
      <c r="J204" s="310"/>
      <c r="K204" s="38"/>
      <c r="L204" s="88"/>
    </row>
    <row r="205" spans="1:14">
      <c r="A205" s="1854"/>
      <c r="B205" s="1855"/>
      <c r="C205" s="73">
        <v>2017</v>
      </c>
      <c r="D205" s="37"/>
      <c r="E205" s="38"/>
      <c r="F205" s="38"/>
      <c r="G205" s="36"/>
      <c r="H205" s="308"/>
      <c r="I205" s="309"/>
      <c r="J205" s="310"/>
      <c r="K205" s="38"/>
      <c r="L205" s="88"/>
    </row>
    <row r="206" spans="1:14">
      <c r="A206" s="1854"/>
      <c r="B206" s="1855"/>
      <c r="C206" s="73">
        <v>2018</v>
      </c>
      <c r="D206" s="37"/>
      <c r="E206" s="38"/>
      <c r="F206" s="38"/>
      <c r="G206" s="36"/>
      <c r="H206" s="308"/>
      <c r="I206" s="309"/>
      <c r="J206" s="310"/>
      <c r="K206" s="38"/>
      <c r="L206" s="88"/>
    </row>
    <row r="207" spans="1:14">
      <c r="A207" s="1854"/>
      <c r="B207" s="1855"/>
      <c r="C207" s="73">
        <v>2019</v>
      </c>
      <c r="D207" s="37"/>
      <c r="E207" s="38"/>
      <c r="F207" s="38"/>
      <c r="G207" s="36"/>
      <c r="H207" s="308"/>
      <c r="I207" s="309"/>
      <c r="J207" s="310"/>
      <c r="K207" s="38"/>
      <c r="L207" s="88"/>
    </row>
    <row r="208" spans="1:14">
      <c r="A208" s="1854"/>
      <c r="B208" s="1855"/>
      <c r="C208" s="73">
        <v>2020</v>
      </c>
      <c r="D208" s="1533"/>
      <c r="E208" s="312"/>
      <c r="F208" s="312"/>
      <c r="G208" s="313"/>
      <c r="H208" s="314"/>
      <c r="I208" s="315"/>
      <c r="J208" s="316"/>
      <c r="K208" s="312"/>
      <c r="L208" s="317"/>
    </row>
    <row r="209" spans="1:12" ht="20.25" customHeight="1" thickBot="1">
      <c r="A209" s="1856"/>
      <c r="B209" s="1857"/>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0</v>
      </c>
      <c r="K209" s="139">
        <f t="shared" si="23"/>
        <v>0</v>
      </c>
      <c r="L209" s="139">
        <f t="shared" si="23"/>
        <v>0</v>
      </c>
    </row>
    <row r="211" spans="1:12" ht="15.75" thickBot="1"/>
    <row r="212" spans="1:12" ht="29.25">
      <c r="A212" s="1576" t="s">
        <v>161</v>
      </c>
      <c r="B212" s="322" t="s">
        <v>162</v>
      </c>
      <c r="C212" s="323">
        <v>2014</v>
      </c>
      <c r="D212" s="324">
        <v>2015</v>
      </c>
      <c r="E212" s="324">
        <v>2016</v>
      </c>
      <c r="F212" s="324">
        <v>2017</v>
      </c>
      <c r="G212" s="324">
        <v>2018</v>
      </c>
      <c r="H212" s="324">
        <v>2019</v>
      </c>
      <c r="I212" s="325">
        <v>2020</v>
      </c>
    </row>
    <row r="213" spans="1:12" ht="15" customHeight="1">
      <c r="A213" t="s">
        <v>163</v>
      </c>
      <c r="B213" s="1973" t="s">
        <v>451</v>
      </c>
      <c r="C213" s="72"/>
      <c r="D213" s="135">
        <f>D214</f>
        <v>7075.32</v>
      </c>
      <c r="E213" s="135">
        <v>135893.16</v>
      </c>
      <c r="F213" s="135">
        <f>F214+F217</f>
        <v>149350.85</v>
      </c>
      <c r="G213" s="135"/>
      <c r="H213" s="135"/>
      <c r="I213" s="326"/>
    </row>
    <row r="214" spans="1:12">
      <c r="A214" t="s">
        <v>164</v>
      </c>
      <c r="B214" s="1974"/>
      <c r="C214" s="72"/>
      <c r="D214" s="135">
        <v>7075.32</v>
      </c>
      <c r="E214" s="135">
        <v>106260.32</v>
      </c>
      <c r="F214" s="135">
        <v>36170.519999999997</v>
      </c>
      <c r="G214" s="135"/>
      <c r="H214" s="135"/>
      <c r="I214" s="326"/>
    </row>
    <row r="215" spans="1:12">
      <c r="A215" t="s">
        <v>165</v>
      </c>
      <c r="B215" s="1974"/>
      <c r="C215" s="72"/>
      <c r="D215" s="135"/>
      <c r="E215" s="135"/>
      <c r="F215" s="135"/>
      <c r="G215" s="135"/>
      <c r="H215" s="135"/>
      <c r="I215" s="326"/>
    </row>
    <row r="216" spans="1:12">
      <c r="A216" t="s">
        <v>166</v>
      </c>
      <c r="B216" s="1974"/>
      <c r="C216" s="72"/>
      <c r="D216" s="135"/>
      <c r="E216" s="135"/>
      <c r="F216" s="135"/>
      <c r="G216" s="135"/>
      <c r="H216" s="135"/>
      <c r="I216" s="326"/>
    </row>
    <row r="217" spans="1:12">
      <c r="A217" t="s">
        <v>167</v>
      </c>
      <c r="B217" s="1974"/>
      <c r="C217" s="72"/>
      <c r="D217" s="135"/>
      <c r="E217" s="135">
        <v>29632.84</v>
      </c>
      <c r="F217" s="135">
        <v>113180.33</v>
      </c>
      <c r="G217" s="135"/>
      <c r="H217" s="135"/>
      <c r="I217" s="326"/>
    </row>
    <row r="218" spans="1:12" ht="30">
      <c r="A218" s="56" t="s">
        <v>168</v>
      </c>
      <c r="B218" s="1974"/>
      <c r="C218" s="72"/>
      <c r="D218" s="135">
        <v>68861.63</v>
      </c>
      <c r="E218" s="135">
        <v>76426.36</v>
      </c>
      <c r="F218" s="135">
        <v>71606.429999999993</v>
      </c>
      <c r="G218" s="135"/>
      <c r="H218" s="135"/>
      <c r="I218" s="326"/>
    </row>
    <row r="219" spans="1:12" ht="31.5" customHeight="1" thickBot="1">
      <c r="A219" s="1532"/>
      <c r="B219" s="1975"/>
      <c r="C219" s="42" t="s">
        <v>13</v>
      </c>
      <c r="D219" s="333">
        <f>SUM(D214:D218)</f>
        <v>75936.950000000012</v>
      </c>
      <c r="E219" s="1617">
        <f>SUM(E214:E218)</f>
        <v>212319.52000000002</v>
      </c>
      <c r="F219" s="333">
        <f>SUM(F214:F218)</f>
        <v>220957.28</v>
      </c>
      <c r="G219" s="333">
        <f t="shared" ref="G219:I219" si="24">SUM(G214:G218)</f>
        <v>0</v>
      </c>
      <c r="H219" s="333">
        <f t="shared" si="24"/>
        <v>0</v>
      </c>
      <c r="I219" s="333">
        <f t="shared" si="24"/>
        <v>0</v>
      </c>
    </row>
    <row r="227" spans="1:1">
      <c r="A227" s="56"/>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1"/>
  <sheetViews>
    <sheetView topLeftCell="A10" workbookViewId="0">
      <selection activeCell="F219" sqref="F219"/>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452</v>
      </c>
      <c r="C1" s="1944"/>
      <c r="D1" s="1944"/>
      <c r="E1" s="1944"/>
      <c r="F1" s="1944"/>
    </row>
    <row r="2" spans="1:25" s="1" customFormat="1" ht="20.100000000000001" customHeight="1" thickBot="1"/>
    <row r="3" spans="1:25" s="4" customFormat="1" ht="20.100000000000001" customHeight="1">
      <c r="A3" s="1584" t="s">
        <v>2</v>
      </c>
      <c r="B3" s="1585"/>
      <c r="C3" s="1585"/>
      <c r="D3" s="1585"/>
      <c r="E3" s="1585"/>
      <c r="F3" s="2418"/>
      <c r="G3" s="2418"/>
      <c r="H3" s="2418"/>
      <c r="I3" s="2418"/>
      <c r="J3" s="2418"/>
      <c r="K3" s="2418"/>
      <c r="L3" s="2418"/>
      <c r="M3" s="2418"/>
      <c r="N3" s="2418"/>
      <c r="O3" s="2419"/>
    </row>
    <row r="4" spans="1:25" s="4" customFormat="1" ht="20.100000000000001" customHeight="1">
      <c r="A4" s="2420" t="s">
        <v>170</v>
      </c>
      <c r="B4" s="1948"/>
      <c r="C4" s="1948"/>
      <c r="D4" s="1948"/>
      <c r="E4" s="1948"/>
      <c r="F4" s="1948"/>
      <c r="G4" s="1948"/>
      <c r="H4" s="1948"/>
      <c r="I4" s="1948"/>
      <c r="J4" s="1948"/>
      <c r="K4" s="1948"/>
      <c r="L4" s="1948"/>
      <c r="M4" s="1948"/>
      <c r="N4" s="1948"/>
      <c r="O4" s="1949"/>
    </row>
    <row r="5" spans="1:25" s="4" customFormat="1" ht="20.100000000000001" customHeight="1">
      <c r="A5" s="2420"/>
      <c r="B5" s="1948"/>
      <c r="C5" s="1948"/>
      <c r="D5" s="1948"/>
      <c r="E5" s="1948"/>
      <c r="F5" s="1948"/>
      <c r="G5" s="1948"/>
      <c r="H5" s="1948"/>
      <c r="I5" s="1948"/>
      <c r="J5" s="1948"/>
      <c r="K5" s="1948"/>
      <c r="L5" s="1948"/>
      <c r="M5" s="1948"/>
      <c r="N5" s="1948"/>
      <c r="O5" s="1949"/>
    </row>
    <row r="6" spans="1:25" s="4" customFormat="1" ht="20.100000000000001" customHeight="1">
      <c r="A6" s="2420"/>
      <c r="B6" s="1948"/>
      <c r="C6" s="1948"/>
      <c r="D6" s="1948"/>
      <c r="E6" s="1948"/>
      <c r="F6" s="1948"/>
      <c r="G6" s="1948"/>
      <c r="H6" s="1948"/>
      <c r="I6" s="1948"/>
      <c r="J6" s="1948"/>
      <c r="K6" s="1948"/>
      <c r="L6" s="1948"/>
      <c r="M6" s="1948"/>
      <c r="N6" s="1948"/>
      <c r="O6" s="1949"/>
    </row>
    <row r="7" spans="1:25" s="4" customFormat="1" ht="20.100000000000001" customHeight="1">
      <c r="A7" s="2420"/>
      <c r="B7" s="1948"/>
      <c r="C7" s="1948"/>
      <c r="D7" s="1948"/>
      <c r="E7" s="1948"/>
      <c r="F7" s="1948"/>
      <c r="G7" s="1948"/>
      <c r="H7" s="1948"/>
      <c r="I7" s="1948"/>
      <c r="J7" s="1948"/>
      <c r="K7" s="1948"/>
      <c r="L7" s="1948"/>
      <c r="M7" s="1948"/>
      <c r="N7" s="1948"/>
      <c r="O7" s="1949"/>
    </row>
    <row r="8" spans="1:25" s="4" customFormat="1" ht="20.100000000000001" customHeight="1">
      <c r="A8" s="2420"/>
      <c r="B8" s="1948"/>
      <c r="C8" s="1948"/>
      <c r="D8" s="1948"/>
      <c r="E8" s="1948"/>
      <c r="F8" s="1948"/>
      <c r="G8" s="1948"/>
      <c r="H8" s="1948"/>
      <c r="I8" s="1948"/>
      <c r="J8" s="1948"/>
      <c r="K8" s="1948"/>
      <c r="L8" s="1948"/>
      <c r="M8" s="1948"/>
      <c r="N8" s="1948"/>
      <c r="O8" s="1949"/>
    </row>
    <row r="9" spans="1:25" s="4" customFormat="1" ht="20.100000000000001" customHeight="1">
      <c r="A9" s="2420"/>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1586"/>
      <c r="B15" s="1587"/>
      <c r="C15" s="10"/>
      <c r="D15" s="1953" t="s">
        <v>5</v>
      </c>
      <c r="E15" s="2422"/>
      <c r="F15" s="2422"/>
      <c r="G15" s="2422"/>
      <c r="H15" s="11"/>
      <c r="I15" s="12" t="s">
        <v>6</v>
      </c>
      <c r="J15" s="13"/>
      <c r="K15" s="13"/>
      <c r="L15" s="13"/>
      <c r="M15" s="13"/>
      <c r="N15" s="13"/>
      <c r="O15" s="14"/>
      <c r="P15" s="15"/>
      <c r="Q15" s="16"/>
      <c r="R15" s="17"/>
      <c r="S15" s="17"/>
      <c r="T15" s="17"/>
      <c r="U15" s="17"/>
      <c r="V15" s="17"/>
      <c r="W15" s="15"/>
      <c r="X15" s="15"/>
      <c r="Y15" s="16"/>
    </row>
    <row r="16" spans="1:25" s="56" customFormat="1" ht="129" customHeight="1">
      <c r="A16" s="1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2582" t="s">
        <v>453</v>
      </c>
      <c r="B17" s="2571"/>
      <c r="C17" s="1618">
        <v>2014</v>
      </c>
      <c r="D17" s="1492"/>
      <c r="E17" s="1493"/>
      <c r="F17" s="1493"/>
      <c r="G17" s="1494">
        <f t="shared" ref="G17:G23" si="0">SUM(D17:F17)</f>
        <v>0</v>
      </c>
      <c r="H17" s="1495"/>
      <c r="I17" s="1493"/>
      <c r="J17" s="1493"/>
      <c r="K17" s="1493"/>
      <c r="L17" s="1493"/>
      <c r="M17" s="1619"/>
      <c r="N17" s="1619"/>
      <c r="O17" s="1620"/>
      <c r="P17" s="35"/>
      <c r="Q17" s="35"/>
      <c r="R17" s="35"/>
      <c r="S17" s="35"/>
      <c r="T17" s="35"/>
      <c r="U17" s="35"/>
      <c r="V17" s="35"/>
      <c r="W17" s="35"/>
      <c r="X17" s="35"/>
      <c r="Y17" s="35"/>
    </row>
    <row r="18" spans="1:25">
      <c r="A18" s="2582"/>
      <c r="B18" s="2571"/>
      <c r="C18" s="585">
        <v>2015</v>
      </c>
      <c r="D18" s="584"/>
      <c r="E18" s="578">
        <v>2</v>
      </c>
      <c r="F18" s="578"/>
      <c r="G18" s="1494">
        <f t="shared" si="0"/>
        <v>2</v>
      </c>
      <c r="H18" s="582">
        <v>2</v>
      </c>
      <c r="I18" s="578"/>
      <c r="J18" s="578"/>
      <c r="K18" s="578"/>
      <c r="L18" s="578"/>
      <c r="M18" s="345"/>
      <c r="N18" s="345"/>
      <c r="O18" s="1621"/>
      <c r="P18" s="35"/>
      <c r="Q18" s="35"/>
      <c r="R18" s="35"/>
      <c r="S18" s="35"/>
      <c r="T18" s="35"/>
      <c r="U18" s="35"/>
      <c r="V18" s="35"/>
      <c r="W18" s="35"/>
      <c r="X18" s="35"/>
      <c r="Y18" s="35"/>
    </row>
    <row r="19" spans="1:25">
      <c r="A19" s="2582"/>
      <c r="B19" s="2571"/>
      <c r="C19" s="585">
        <v>2016</v>
      </c>
      <c r="D19" s="584">
        <v>11</v>
      </c>
      <c r="E19" s="578"/>
      <c r="F19" s="578"/>
      <c r="G19" s="1494">
        <f t="shared" si="0"/>
        <v>11</v>
      </c>
      <c r="H19" s="582">
        <v>11</v>
      </c>
      <c r="I19" s="578"/>
      <c r="J19" s="578"/>
      <c r="K19" s="578"/>
      <c r="L19" s="578"/>
      <c r="M19" s="345"/>
      <c r="N19" s="345"/>
      <c r="O19" s="1621"/>
      <c r="P19" s="35"/>
      <c r="Q19" s="35"/>
      <c r="R19" s="35"/>
      <c r="S19" s="35"/>
      <c r="T19" s="35"/>
      <c r="U19" s="35"/>
      <c r="V19" s="35"/>
      <c r="W19" s="35"/>
      <c r="X19" s="35"/>
      <c r="Y19" s="35"/>
    </row>
    <row r="20" spans="1:25">
      <c r="A20" s="2582"/>
      <c r="B20" s="2571"/>
      <c r="C20" s="585">
        <v>2017</v>
      </c>
      <c r="D20" s="584">
        <v>10</v>
      </c>
      <c r="E20" s="578"/>
      <c r="F20" s="578"/>
      <c r="G20" s="1494">
        <f t="shared" si="0"/>
        <v>10</v>
      </c>
      <c r="H20" s="582">
        <v>10</v>
      </c>
      <c r="I20" s="578"/>
      <c r="J20" s="578"/>
      <c r="K20" s="578"/>
      <c r="L20" s="578"/>
      <c r="M20" s="345"/>
      <c r="N20" s="345"/>
      <c r="O20" s="1621"/>
      <c r="P20" s="35"/>
      <c r="Q20" s="35"/>
      <c r="R20" s="35"/>
      <c r="S20" s="35"/>
      <c r="T20" s="35"/>
      <c r="U20" s="35"/>
      <c r="V20" s="35"/>
      <c r="W20" s="35"/>
      <c r="X20" s="35"/>
      <c r="Y20" s="35"/>
    </row>
    <row r="21" spans="1:25">
      <c r="A21" s="2582"/>
      <c r="B21" s="2571"/>
      <c r="C21" s="585">
        <v>2018</v>
      </c>
      <c r="D21" s="584"/>
      <c r="E21" s="578"/>
      <c r="F21" s="578"/>
      <c r="G21" s="1494">
        <f t="shared" si="0"/>
        <v>0</v>
      </c>
      <c r="H21" s="582"/>
      <c r="I21" s="578"/>
      <c r="J21" s="578"/>
      <c r="K21" s="578"/>
      <c r="L21" s="578"/>
      <c r="M21" s="345"/>
      <c r="N21" s="345"/>
      <c r="O21" s="1621"/>
      <c r="P21" s="35"/>
      <c r="Q21" s="35"/>
      <c r="R21" s="35"/>
      <c r="S21" s="35"/>
      <c r="T21" s="35"/>
      <c r="U21" s="35"/>
      <c r="V21" s="35"/>
      <c r="W21" s="35"/>
      <c r="X21" s="35"/>
      <c r="Y21" s="35"/>
    </row>
    <row r="22" spans="1:25">
      <c r="A22" s="2582"/>
      <c r="B22" s="2571"/>
      <c r="C22" s="1622">
        <v>2019</v>
      </c>
      <c r="D22" s="584"/>
      <c r="E22" s="578"/>
      <c r="F22" s="578"/>
      <c r="G22" s="1494">
        <f>SUM(D22:F22)</f>
        <v>0</v>
      </c>
      <c r="H22" s="582"/>
      <c r="I22" s="578"/>
      <c r="J22" s="578"/>
      <c r="K22" s="578"/>
      <c r="L22" s="578"/>
      <c r="M22" s="345"/>
      <c r="N22" s="345"/>
      <c r="O22" s="1621"/>
      <c r="P22" s="35"/>
      <c r="Q22" s="35"/>
      <c r="R22" s="35"/>
      <c r="S22" s="35"/>
      <c r="T22" s="35"/>
      <c r="U22" s="35"/>
      <c r="V22" s="35"/>
      <c r="W22" s="35"/>
      <c r="X22" s="35"/>
      <c r="Y22" s="35"/>
    </row>
    <row r="23" spans="1:25">
      <c r="A23" s="2582"/>
      <c r="B23" s="2571"/>
      <c r="C23" s="585">
        <v>2020</v>
      </c>
      <c r="D23" s="584"/>
      <c r="E23" s="578"/>
      <c r="F23" s="578"/>
      <c r="G23" s="1494">
        <f t="shared" si="0"/>
        <v>0</v>
      </c>
      <c r="H23" s="582"/>
      <c r="I23" s="578"/>
      <c r="J23" s="578"/>
      <c r="K23" s="578"/>
      <c r="L23" s="578"/>
      <c r="M23" s="345"/>
      <c r="N23" s="345"/>
      <c r="O23" s="1621"/>
      <c r="P23" s="35"/>
      <c r="Q23" s="35"/>
      <c r="R23" s="35"/>
      <c r="S23" s="35"/>
      <c r="T23" s="35"/>
      <c r="U23" s="35"/>
      <c r="V23" s="35"/>
      <c r="W23" s="35"/>
      <c r="X23" s="35"/>
      <c r="Y23" s="35"/>
    </row>
    <row r="24" spans="1:25" ht="15.75" thickBot="1">
      <c r="A24" s="2583"/>
      <c r="B24" s="2584"/>
      <c r="C24" s="1623" t="s">
        <v>13</v>
      </c>
      <c r="D24" s="1624">
        <f>SUM(D17:D23)</f>
        <v>21</v>
      </c>
      <c r="E24" s="1625">
        <f>SUM(E17:E23)</f>
        <v>2</v>
      </c>
      <c r="F24" s="1625">
        <f>SUM(F17:F23)</f>
        <v>0</v>
      </c>
      <c r="G24" s="1626">
        <f>SUM(D24:F24)</f>
        <v>23</v>
      </c>
      <c r="H24" s="1627">
        <f>SUM(H17:H23)</f>
        <v>23</v>
      </c>
      <c r="I24" s="1628">
        <f>SUM(I17:I23)</f>
        <v>0</v>
      </c>
      <c r="J24" s="1628">
        <f t="shared" ref="J24:N24" si="1">SUM(J17:J23)</f>
        <v>0</v>
      </c>
      <c r="K24" s="1628">
        <f t="shared" si="1"/>
        <v>0</v>
      </c>
      <c r="L24" s="1628">
        <f t="shared" si="1"/>
        <v>0</v>
      </c>
      <c r="M24" s="47">
        <f t="shared" si="1"/>
        <v>0</v>
      </c>
      <c r="N24" s="47">
        <f t="shared" si="1"/>
        <v>0</v>
      </c>
      <c r="O24" s="48">
        <f>SUM(O17:O23)</f>
        <v>0</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1586"/>
      <c r="B26" s="1587"/>
      <c r="C26" s="50"/>
      <c r="D26" s="1959" t="s">
        <v>5</v>
      </c>
      <c r="E26" s="2424"/>
      <c r="F26" s="2424"/>
      <c r="G26" s="2425"/>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2582" t="s">
        <v>454</v>
      </c>
      <c r="B28" s="2571"/>
      <c r="C28" s="57">
        <v>2014</v>
      </c>
      <c r="D28" s="1629"/>
      <c r="E28" s="1493"/>
      <c r="F28" s="1493"/>
      <c r="G28" s="1630">
        <f>SUM(D28:F28)</f>
        <v>0</v>
      </c>
      <c r="H28" s="35"/>
      <c r="I28" s="35"/>
      <c r="J28" s="35"/>
      <c r="K28" s="35"/>
      <c r="L28" s="35"/>
      <c r="M28" s="35"/>
      <c r="N28" s="35"/>
      <c r="O28" s="35"/>
      <c r="P28" s="35"/>
      <c r="Q28" s="7"/>
    </row>
    <row r="29" spans="1:25">
      <c r="A29" s="2582"/>
      <c r="B29" s="2571"/>
      <c r="C29" s="59">
        <v>2015</v>
      </c>
      <c r="D29" s="577"/>
      <c r="E29" s="578">
        <v>115</v>
      </c>
      <c r="F29" s="578"/>
      <c r="G29" s="1630">
        <f>SUM(D29:F29)</f>
        <v>115</v>
      </c>
      <c r="H29" s="35"/>
      <c r="I29" s="35"/>
      <c r="J29" s="35"/>
      <c r="K29" s="35"/>
      <c r="L29" s="35"/>
      <c r="M29" s="35"/>
      <c r="N29" s="35"/>
      <c r="O29" s="35"/>
      <c r="P29" s="35"/>
      <c r="Q29" s="7"/>
    </row>
    <row r="30" spans="1:25">
      <c r="A30" s="2582"/>
      <c r="B30" s="2571"/>
      <c r="C30" s="59">
        <v>2016</v>
      </c>
      <c r="D30" s="582"/>
      <c r="E30" s="578">
        <v>546</v>
      </c>
      <c r="F30" s="578"/>
      <c r="G30" s="1630">
        <f t="shared" ref="G30:G35" si="2">SUM(D30:F30)</f>
        <v>546</v>
      </c>
      <c r="H30" s="35"/>
      <c r="I30" s="35"/>
      <c r="J30" s="35"/>
      <c r="K30" s="35"/>
      <c r="L30" s="35"/>
      <c r="M30" s="35"/>
      <c r="N30" s="35"/>
      <c r="O30" s="35"/>
      <c r="P30" s="35"/>
      <c r="Q30" s="7"/>
    </row>
    <row r="31" spans="1:25">
      <c r="A31" s="2582"/>
      <c r="B31" s="2571"/>
      <c r="C31" s="59">
        <v>2017</v>
      </c>
      <c r="D31" s="582"/>
      <c r="E31" s="578">
        <v>458</v>
      </c>
      <c r="F31" s="578"/>
      <c r="G31" s="1630">
        <f t="shared" si="2"/>
        <v>458</v>
      </c>
      <c r="H31" s="35"/>
      <c r="I31" s="35"/>
      <c r="J31" s="35"/>
      <c r="K31" s="35"/>
      <c r="L31" s="35"/>
      <c r="M31" s="35"/>
      <c r="N31" s="35"/>
      <c r="O31" s="35"/>
      <c r="P31" s="35"/>
      <c r="Q31" s="7"/>
    </row>
    <row r="32" spans="1:25">
      <c r="A32" s="2582"/>
      <c r="B32" s="2571"/>
      <c r="C32" s="59">
        <v>2018</v>
      </c>
      <c r="D32" s="577"/>
      <c r="E32" s="578"/>
      <c r="F32" s="578"/>
      <c r="G32" s="1630">
        <f>SUM(D32:F32)</f>
        <v>0</v>
      </c>
      <c r="H32" s="35"/>
      <c r="I32" s="35"/>
      <c r="J32" s="35"/>
      <c r="K32" s="35"/>
      <c r="L32" s="35"/>
      <c r="M32" s="35"/>
      <c r="N32" s="35"/>
      <c r="O32" s="35"/>
      <c r="P32" s="35"/>
      <c r="Q32" s="7"/>
    </row>
    <row r="33" spans="1:17">
      <c r="A33" s="2582"/>
      <c r="B33" s="2571"/>
      <c r="C33" s="60">
        <v>2019</v>
      </c>
      <c r="D33" s="577"/>
      <c r="E33" s="578"/>
      <c r="F33" s="578"/>
      <c r="G33" s="1630">
        <f t="shared" si="2"/>
        <v>0</v>
      </c>
      <c r="H33" s="35"/>
      <c r="I33" s="35"/>
      <c r="J33" s="35"/>
      <c r="K33" s="35"/>
      <c r="L33" s="35"/>
      <c r="M33" s="35"/>
      <c r="N33" s="35"/>
      <c r="O33" s="35"/>
      <c r="P33" s="35"/>
      <c r="Q33" s="7"/>
    </row>
    <row r="34" spans="1:17">
      <c r="A34" s="2582"/>
      <c r="B34" s="2571"/>
      <c r="C34" s="59">
        <v>2020</v>
      </c>
      <c r="D34" s="577"/>
      <c r="E34" s="578"/>
      <c r="F34" s="578"/>
      <c r="G34" s="1630">
        <f t="shared" si="2"/>
        <v>0</v>
      </c>
      <c r="H34" s="35"/>
      <c r="I34" s="35"/>
      <c r="J34" s="35"/>
      <c r="K34" s="35"/>
      <c r="L34" s="35"/>
      <c r="M34" s="35"/>
      <c r="N34" s="35"/>
      <c r="O34" s="35"/>
      <c r="P34" s="35"/>
      <c r="Q34" s="7"/>
    </row>
    <row r="35" spans="1:17" ht="128.25" customHeight="1" thickBot="1">
      <c r="A35" s="2583"/>
      <c r="B35" s="2584"/>
      <c r="C35" s="61" t="s">
        <v>13</v>
      </c>
      <c r="D35" s="46">
        <f>SUM(D28:D34)</f>
        <v>0</v>
      </c>
      <c r="E35" s="44">
        <f>SUM(E28:E34)</f>
        <v>1119</v>
      </c>
      <c r="F35" s="44">
        <f>SUM(F28:F34)</f>
        <v>0</v>
      </c>
      <c r="G35" s="48">
        <f t="shared" si="2"/>
        <v>1119</v>
      </c>
      <c r="H35" s="35"/>
      <c r="I35" s="35"/>
      <c r="J35" s="35"/>
      <c r="K35" s="35"/>
      <c r="L35" s="35"/>
      <c r="M35" s="35"/>
      <c r="N35" s="35"/>
      <c r="O35" s="35"/>
      <c r="P35" s="35"/>
      <c r="Q35" s="7"/>
    </row>
    <row r="36" spans="1:17">
      <c r="A36" s="1535"/>
      <c r="B36" s="1535"/>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1544" t="s">
        <v>26</v>
      </c>
      <c r="B39" s="1545">
        <v>0</v>
      </c>
      <c r="C39" s="68" t="s">
        <v>9</v>
      </c>
      <c r="D39" s="69" t="s">
        <v>28</v>
      </c>
      <c r="E39" s="70" t="s">
        <v>29</v>
      </c>
      <c r="F39" s="71"/>
      <c r="G39" s="28"/>
      <c r="H39" s="28"/>
    </row>
    <row r="40" spans="1:17">
      <c r="A40" s="1874"/>
      <c r="B40" s="1855"/>
      <c r="C40" s="72">
        <v>2014</v>
      </c>
      <c r="D40" s="1631"/>
      <c r="E40" s="1632"/>
      <c r="F40" s="7"/>
      <c r="G40" s="35"/>
      <c r="H40" s="35"/>
    </row>
    <row r="41" spans="1:17">
      <c r="A41" s="1854"/>
      <c r="B41" s="1855"/>
      <c r="C41" s="73">
        <v>2015</v>
      </c>
      <c r="D41" s="584">
        <v>102669</v>
      </c>
      <c r="E41" s="1633"/>
      <c r="F41" s="7"/>
      <c r="G41" s="35"/>
      <c r="H41" s="35"/>
    </row>
    <row r="42" spans="1:17">
      <c r="A42" s="1854"/>
      <c r="B42" s="1855"/>
      <c r="C42" s="73">
        <v>2016</v>
      </c>
      <c r="D42" s="584">
        <v>184194</v>
      </c>
      <c r="E42" s="1634">
        <v>36622</v>
      </c>
      <c r="F42" s="7"/>
      <c r="G42" s="35"/>
      <c r="H42" s="35"/>
    </row>
    <row r="43" spans="1:17">
      <c r="A43" s="1854"/>
      <c r="B43" s="1855"/>
      <c r="C43" s="73">
        <v>2017</v>
      </c>
      <c r="D43" s="584">
        <v>204233</v>
      </c>
      <c r="E43" s="585">
        <v>37148</v>
      </c>
      <c r="F43" s="7"/>
      <c r="G43" s="35"/>
      <c r="H43" s="35"/>
    </row>
    <row r="44" spans="1:17">
      <c r="A44" s="1854"/>
      <c r="B44" s="1855"/>
      <c r="C44" s="73">
        <v>2018</v>
      </c>
      <c r="D44" s="1506"/>
      <c r="E44" s="585"/>
      <c r="F44" s="7"/>
      <c r="G44" s="35"/>
      <c r="H44" s="35"/>
    </row>
    <row r="45" spans="1:17">
      <c r="A45" s="1854"/>
      <c r="B45" s="1855"/>
      <c r="C45" s="73">
        <v>2019</v>
      </c>
      <c r="D45" s="1506"/>
      <c r="E45" s="1633"/>
      <c r="F45" s="7"/>
      <c r="G45" s="35"/>
      <c r="H45" s="35"/>
    </row>
    <row r="46" spans="1:17">
      <c r="A46" s="1854"/>
      <c r="B46" s="1855"/>
      <c r="C46" s="73">
        <v>2020</v>
      </c>
      <c r="D46" s="1506"/>
      <c r="E46" s="1633"/>
      <c r="F46" s="7"/>
      <c r="G46" s="35"/>
      <c r="H46" s="35"/>
    </row>
    <row r="47" spans="1:17" ht="15.75" thickBot="1">
      <c r="A47" s="1856"/>
      <c r="B47" s="1857"/>
      <c r="C47" s="42" t="s">
        <v>13</v>
      </c>
      <c r="D47" s="43">
        <f>SUM(D40:D46)</f>
        <v>491096</v>
      </c>
      <c r="E47" s="455">
        <f>SUM(E40:E46)</f>
        <v>73770</v>
      </c>
      <c r="F47" s="78"/>
      <c r="G47" s="35"/>
      <c r="H47" s="35"/>
    </row>
    <row r="48" spans="1:17" s="35" customFormat="1" ht="15.75" thickBot="1">
      <c r="A48" s="1595"/>
      <c r="B48" s="80"/>
      <c r="C48" s="81"/>
    </row>
    <row r="49" spans="1:15" ht="83.25" customHeight="1">
      <c r="A49" s="82" t="s">
        <v>32</v>
      </c>
      <c r="B49" s="1545" t="s">
        <v>171</v>
      </c>
      <c r="C49" s="84" t="s">
        <v>9</v>
      </c>
      <c r="D49" s="69" t="s">
        <v>34</v>
      </c>
      <c r="E49" s="85" t="s">
        <v>35</v>
      </c>
      <c r="F49" s="85" t="s">
        <v>36</v>
      </c>
      <c r="G49" s="85" t="s">
        <v>37</v>
      </c>
      <c r="H49" s="85" t="s">
        <v>38</v>
      </c>
      <c r="I49" s="85" t="s">
        <v>39</v>
      </c>
      <c r="J49" s="85" t="s">
        <v>40</v>
      </c>
      <c r="K49" s="86" t="s">
        <v>41</v>
      </c>
    </row>
    <row r="50" spans="1:15" ht="17.25" customHeight="1">
      <c r="A50" s="1872"/>
      <c r="B50" s="1879"/>
      <c r="C50" s="87" t="s">
        <v>43</v>
      </c>
      <c r="D50" s="30"/>
      <c r="E50" s="31"/>
      <c r="F50" s="31"/>
      <c r="G50" s="31"/>
      <c r="H50" s="31"/>
      <c r="I50" s="31"/>
      <c r="J50" s="31"/>
      <c r="K50" s="34"/>
    </row>
    <row r="51" spans="1:15" ht="15" customHeight="1">
      <c r="A51" s="1874"/>
      <c r="B51" s="1881"/>
      <c r="C51" s="73">
        <v>2014</v>
      </c>
      <c r="D51" s="37"/>
      <c r="E51" s="38"/>
      <c r="F51" s="38"/>
      <c r="G51" s="38"/>
      <c r="H51" s="38"/>
      <c r="I51" s="38"/>
      <c r="J51" s="38"/>
      <c r="K51" s="88"/>
    </row>
    <row r="52" spans="1:15">
      <c r="A52" s="1874"/>
      <c r="B52" s="1881"/>
      <c r="C52" s="73">
        <v>2015</v>
      </c>
      <c r="D52" s="37"/>
      <c r="E52" s="38"/>
      <c r="F52" s="38"/>
      <c r="G52" s="38"/>
      <c r="H52" s="38"/>
      <c r="I52" s="38"/>
      <c r="J52" s="38"/>
      <c r="K52" s="88"/>
    </row>
    <row r="53" spans="1:15">
      <c r="A53" s="1874"/>
      <c r="B53" s="1881"/>
      <c r="C53" s="73">
        <v>2016</v>
      </c>
      <c r="D53" s="37"/>
      <c r="E53" s="38"/>
      <c r="F53" s="38"/>
      <c r="G53" s="38"/>
      <c r="H53" s="38"/>
      <c r="I53" s="38"/>
      <c r="J53" s="38"/>
      <c r="K53" s="88"/>
    </row>
    <row r="54" spans="1:15">
      <c r="A54" s="1874"/>
      <c r="B54" s="1881"/>
      <c r="C54" s="73">
        <v>2017</v>
      </c>
      <c r="D54" s="37"/>
      <c r="E54" s="38"/>
      <c r="F54" s="38"/>
      <c r="G54" s="38"/>
      <c r="H54" s="38"/>
      <c r="I54" s="38"/>
      <c r="J54" s="38"/>
      <c r="K54" s="88"/>
    </row>
    <row r="55" spans="1:15">
      <c r="A55" s="1874"/>
      <c r="B55" s="1881"/>
      <c r="C55" s="73">
        <v>2018</v>
      </c>
      <c r="D55" s="37"/>
      <c r="E55" s="38"/>
      <c r="F55" s="38"/>
      <c r="G55" s="38"/>
      <c r="H55" s="38"/>
      <c r="I55" s="38"/>
      <c r="J55" s="38"/>
      <c r="K55" s="88"/>
    </row>
    <row r="56" spans="1:15">
      <c r="A56" s="1874"/>
      <c r="B56" s="1881"/>
      <c r="C56" s="73">
        <v>2019</v>
      </c>
      <c r="D56" s="37"/>
      <c r="E56" s="38"/>
      <c r="F56" s="38"/>
      <c r="G56" s="38"/>
      <c r="H56" s="38"/>
      <c r="I56" s="38"/>
      <c r="J56" s="38"/>
      <c r="K56" s="88"/>
    </row>
    <row r="57" spans="1:15">
      <c r="A57" s="1874"/>
      <c r="B57" s="1881"/>
      <c r="C57" s="73">
        <v>2020</v>
      </c>
      <c r="D57" s="37"/>
      <c r="E57" s="38"/>
      <c r="F57" s="38"/>
      <c r="G57" s="38"/>
      <c r="H57" s="38"/>
      <c r="I57" s="38"/>
      <c r="J57" s="38"/>
      <c r="K57" s="93"/>
    </row>
    <row r="58" spans="1:15" ht="20.25" customHeight="1" thickBot="1">
      <c r="A58" s="1876"/>
      <c r="B58" s="1883"/>
      <c r="C58" s="42" t="s">
        <v>13</v>
      </c>
      <c r="D58" s="43">
        <f>SUM(D51:D57)</f>
        <v>0</v>
      </c>
      <c r="E58" s="44">
        <f>SUM(E51:E57)</f>
        <v>0</v>
      </c>
      <c r="F58" s="44">
        <f>SUM(F51:F57)</f>
        <v>0</v>
      </c>
      <c r="G58" s="44">
        <f>SUM(G51:G57)</f>
        <v>0</v>
      </c>
      <c r="H58" s="44">
        <f>SUM(H51:H57)</f>
        <v>0</v>
      </c>
      <c r="I58" s="44">
        <f t="shared" ref="I58" si="3">SUM(I51:I57)</f>
        <v>0</v>
      </c>
      <c r="J58" s="44">
        <f>SUM(J51:J57)</f>
        <v>0</v>
      </c>
      <c r="K58" s="48">
        <f>SUM(K50:K56)</f>
        <v>0</v>
      </c>
    </row>
    <row r="59" spans="1:15" ht="15.75" thickBot="1"/>
    <row r="60" spans="1:15" ht="21" customHeight="1">
      <c r="A60" s="2427" t="s">
        <v>44</v>
      </c>
      <c r="B60" s="1616"/>
      <c r="C60" s="2429" t="s">
        <v>9</v>
      </c>
      <c r="D60" s="2417" t="s">
        <v>45</v>
      </c>
      <c r="E60" s="96" t="s">
        <v>6</v>
      </c>
      <c r="F60" s="1542"/>
      <c r="G60" s="1542"/>
      <c r="H60" s="1542"/>
      <c r="I60" s="1542"/>
      <c r="J60" s="1542"/>
      <c r="K60" s="1542"/>
      <c r="L60" s="1543"/>
    </row>
    <row r="61" spans="1:15" ht="115.5" customHeight="1">
      <c r="A61" s="1970"/>
      <c r="B61" s="373" t="s">
        <v>171</v>
      </c>
      <c r="C61" s="1972"/>
      <c r="D61" s="1942"/>
      <c r="E61" s="100" t="s">
        <v>14</v>
      </c>
      <c r="F61" s="101" t="s">
        <v>15</v>
      </c>
      <c r="G61" s="101" t="s">
        <v>16</v>
      </c>
      <c r="H61" s="102" t="s">
        <v>17</v>
      </c>
      <c r="I61" s="102" t="s">
        <v>18</v>
      </c>
      <c r="J61" s="103" t="s">
        <v>19</v>
      </c>
      <c r="K61" s="101" t="s">
        <v>20</v>
      </c>
      <c r="L61" s="104" t="s">
        <v>21</v>
      </c>
      <c r="M61" s="105"/>
      <c r="N61" s="7"/>
      <c r="O61" s="7"/>
    </row>
    <row r="62" spans="1:15" ht="15" customHeight="1">
      <c r="A62" s="2576" t="s">
        <v>455</v>
      </c>
      <c r="B62" s="2577"/>
      <c r="C62" s="1635">
        <v>2014</v>
      </c>
      <c r="D62" s="1619"/>
      <c r="E62" s="1636"/>
      <c r="F62" s="1637"/>
      <c r="G62" s="1637"/>
      <c r="H62" s="1637"/>
      <c r="I62" s="1637"/>
      <c r="J62" s="1637"/>
      <c r="K62" s="1637"/>
      <c r="L62" s="1620"/>
      <c r="M62" s="7"/>
      <c r="N62" s="7"/>
      <c r="O62" s="7"/>
    </row>
    <row r="63" spans="1:15">
      <c r="A63" s="2576"/>
      <c r="B63" s="2577"/>
      <c r="C63" s="1634">
        <v>2015</v>
      </c>
      <c r="D63" s="578">
        <v>5</v>
      </c>
      <c r="E63" s="590">
        <v>5</v>
      </c>
      <c r="F63" s="578"/>
      <c r="G63" s="345"/>
      <c r="H63" s="345"/>
      <c r="I63" s="345"/>
      <c r="J63" s="345"/>
      <c r="K63" s="345"/>
      <c r="L63" s="593"/>
      <c r="M63" s="7"/>
      <c r="N63" s="7"/>
      <c r="O63" s="7"/>
    </row>
    <row r="64" spans="1:15">
      <c r="A64" s="2576"/>
      <c r="B64" s="2577"/>
      <c r="C64" s="1638">
        <v>2016</v>
      </c>
      <c r="D64" s="578">
        <v>68</v>
      </c>
      <c r="E64" s="590">
        <v>68</v>
      </c>
      <c r="F64" s="578"/>
      <c r="G64" s="578"/>
      <c r="H64" s="578"/>
      <c r="I64" s="578"/>
      <c r="J64" s="578"/>
      <c r="K64" s="578"/>
      <c r="L64" s="397"/>
      <c r="M64" s="7"/>
      <c r="N64" s="7"/>
      <c r="O64" s="7"/>
    </row>
    <row r="65" spans="1:20">
      <c r="A65" s="2576"/>
      <c r="B65" s="2577"/>
      <c r="C65" s="1638">
        <v>2017</v>
      </c>
      <c r="D65" s="578">
        <f>21+23+2</f>
        <v>46</v>
      </c>
      <c r="E65" s="590">
        <f>D65</f>
        <v>46</v>
      </c>
      <c r="F65" s="578"/>
      <c r="G65" s="578"/>
      <c r="H65" s="578"/>
      <c r="I65" s="578"/>
      <c r="J65" s="578"/>
      <c r="K65" s="578"/>
      <c r="L65" s="397"/>
      <c r="M65" s="7"/>
      <c r="N65" s="7"/>
      <c r="O65" s="7"/>
    </row>
    <row r="66" spans="1:20">
      <c r="A66" s="2576"/>
      <c r="B66" s="2577"/>
      <c r="C66" s="1638">
        <v>2018</v>
      </c>
      <c r="D66" s="578"/>
      <c r="E66" s="590"/>
      <c r="F66" s="578"/>
      <c r="G66" s="578"/>
      <c r="H66" s="578"/>
      <c r="I66" s="578"/>
      <c r="J66" s="578"/>
      <c r="K66" s="578"/>
      <c r="L66" s="397"/>
      <c r="M66" s="7"/>
      <c r="N66" s="7"/>
      <c r="O66" s="7"/>
    </row>
    <row r="67" spans="1:20" ht="17.25" customHeight="1">
      <c r="A67" s="2576"/>
      <c r="B67" s="2577"/>
      <c r="C67" s="1638">
        <v>2019</v>
      </c>
      <c r="D67" s="345"/>
      <c r="E67" s="1639"/>
      <c r="F67" s="345"/>
      <c r="G67" s="345"/>
      <c r="H67" s="345"/>
      <c r="I67" s="345"/>
      <c r="J67" s="345"/>
      <c r="K67" s="345"/>
      <c r="L67" s="593"/>
      <c r="M67" s="7"/>
      <c r="N67" s="7"/>
      <c r="O67" s="7"/>
    </row>
    <row r="68" spans="1:20" ht="16.5" customHeight="1">
      <c r="A68" s="2576"/>
      <c r="B68" s="2577"/>
      <c r="C68" s="1638">
        <v>2020</v>
      </c>
      <c r="D68" s="345"/>
      <c r="E68" s="1639"/>
      <c r="F68" s="345"/>
      <c r="G68" s="345"/>
      <c r="H68" s="345"/>
      <c r="I68" s="345"/>
      <c r="J68" s="345"/>
      <c r="K68" s="345"/>
      <c r="L68" s="593"/>
      <c r="M68" s="78"/>
      <c r="N68" s="78"/>
      <c r="O68" s="78"/>
    </row>
    <row r="69" spans="1:20" ht="15.75" thickBot="1">
      <c r="A69" s="2576"/>
      <c r="B69" s="2577"/>
      <c r="C69" s="1640" t="s">
        <v>13</v>
      </c>
      <c r="D69" s="114">
        <f>SUM(D62:D68)</f>
        <v>119</v>
      </c>
      <c r="E69" s="115">
        <f>SUM(E62:E68)</f>
        <v>119</v>
      </c>
      <c r="F69" s="116">
        <f t="shared" ref="F69:I69" si="4">SUM(F62:F68)</f>
        <v>0</v>
      </c>
      <c r="G69" s="116">
        <f t="shared" si="4"/>
        <v>0</v>
      </c>
      <c r="H69" s="116">
        <f t="shared" si="4"/>
        <v>0</v>
      </c>
      <c r="I69" s="116">
        <f t="shared" si="4"/>
        <v>0</v>
      </c>
      <c r="J69" s="116"/>
      <c r="K69" s="116">
        <f>SUM(K62:K68)</f>
        <v>0</v>
      </c>
      <c r="L69" s="117">
        <f>SUM(L62:L68)</f>
        <v>0</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1544" t="s">
        <v>47</v>
      </c>
      <c r="B71" s="1545"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2578" t="s">
        <v>456</v>
      </c>
      <c r="B72" s="2580" t="s">
        <v>457</v>
      </c>
      <c r="C72" s="72">
        <v>2014</v>
      </c>
      <c r="D72" s="1641"/>
      <c r="E72" s="1641"/>
      <c r="F72" s="1641"/>
      <c r="G72" s="1642">
        <f>SUM(D72:F72)</f>
        <v>0</v>
      </c>
      <c r="H72" s="1492"/>
      <c r="I72" s="1643"/>
      <c r="J72" s="1644"/>
      <c r="K72" s="1644"/>
      <c r="L72" s="1644"/>
      <c r="M72" s="1644"/>
      <c r="N72" s="1644"/>
      <c r="O72" s="1645"/>
    </row>
    <row r="73" spans="1:20">
      <c r="A73" s="2578"/>
      <c r="B73" s="2580"/>
      <c r="C73" s="73">
        <v>2015</v>
      </c>
      <c r="D73" s="439"/>
      <c r="E73" s="439"/>
      <c r="F73" s="439"/>
      <c r="G73" s="1642">
        <f t="shared" ref="G73:G78" si="5">SUM(D73:F73)</f>
        <v>0</v>
      </c>
      <c r="H73" s="584"/>
      <c r="I73" s="584"/>
      <c r="J73" s="578"/>
      <c r="K73" s="578"/>
      <c r="L73" s="578"/>
      <c r="M73" s="578"/>
      <c r="N73" s="578"/>
      <c r="O73" s="397"/>
    </row>
    <row r="74" spans="1:20">
      <c r="A74" s="2578"/>
      <c r="B74" s="2580"/>
      <c r="C74" s="73">
        <v>2016</v>
      </c>
      <c r="D74" s="439"/>
      <c r="E74" s="439">
        <v>6</v>
      </c>
      <c r="F74" s="439"/>
      <c r="G74" s="1642">
        <f t="shared" si="5"/>
        <v>6</v>
      </c>
      <c r="H74" s="584">
        <v>6</v>
      </c>
      <c r="I74" s="584"/>
      <c r="J74" s="578"/>
      <c r="K74" s="578"/>
      <c r="L74" s="578"/>
      <c r="M74" s="578"/>
      <c r="N74" s="578"/>
      <c r="O74" s="397"/>
    </row>
    <row r="75" spans="1:20">
      <c r="A75" s="2578"/>
      <c r="B75" s="2580"/>
      <c r="C75" s="73">
        <v>2017</v>
      </c>
      <c r="D75" s="439"/>
      <c r="E75" s="439">
        <v>5</v>
      </c>
      <c r="F75" s="439">
        <v>3</v>
      </c>
      <c r="G75" s="1642">
        <f t="shared" si="5"/>
        <v>8</v>
      </c>
      <c r="H75" s="584">
        <v>8</v>
      </c>
      <c r="I75" s="584"/>
      <c r="J75" s="578"/>
      <c r="K75" s="578"/>
      <c r="L75" s="578"/>
      <c r="M75" s="578"/>
      <c r="N75" s="578"/>
      <c r="O75" s="397"/>
    </row>
    <row r="76" spans="1:20">
      <c r="A76" s="2578"/>
      <c r="B76" s="2580"/>
      <c r="C76" s="73">
        <v>2018</v>
      </c>
      <c r="D76" s="439"/>
      <c r="E76" s="439"/>
      <c r="F76" s="439"/>
      <c r="G76" s="1642">
        <f t="shared" si="5"/>
        <v>0</v>
      </c>
      <c r="H76" s="584"/>
      <c r="I76" s="584"/>
      <c r="J76" s="578"/>
      <c r="K76" s="578"/>
      <c r="L76" s="578"/>
      <c r="M76" s="578"/>
      <c r="N76" s="578"/>
      <c r="O76" s="397"/>
    </row>
    <row r="77" spans="1:20" ht="15.75" customHeight="1">
      <c r="A77" s="2578"/>
      <c r="B77" s="2580"/>
      <c r="C77" s="73">
        <v>2019</v>
      </c>
      <c r="D77" s="439"/>
      <c r="E77" s="439"/>
      <c r="F77" s="439"/>
      <c r="G77" s="1642">
        <f t="shared" si="5"/>
        <v>0</v>
      </c>
      <c r="H77" s="584"/>
      <c r="I77" s="584"/>
      <c r="J77" s="578"/>
      <c r="K77" s="578"/>
      <c r="L77" s="578"/>
      <c r="M77" s="578"/>
      <c r="N77" s="578"/>
      <c r="O77" s="397"/>
    </row>
    <row r="78" spans="1:20" ht="17.25" customHeight="1">
      <c r="A78" s="2578"/>
      <c r="B78" s="2580"/>
      <c r="C78" s="73">
        <v>2020</v>
      </c>
      <c r="D78" s="439"/>
      <c r="E78" s="439"/>
      <c r="F78" s="439"/>
      <c r="G78" s="1642">
        <f t="shared" si="5"/>
        <v>0</v>
      </c>
      <c r="H78" s="584"/>
      <c r="I78" s="584"/>
      <c r="J78" s="578"/>
      <c r="K78" s="578"/>
      <c r="L78" s="578"/>
      <c r="M78" s="578"/>
      <c r="N78" s="578"/>
      <c r="O78" s="397"/>
    </row>
    <row r="79" spans="1:20" ht="15.75" thickBot="1">
      <c r="A79" s="2579"/>
      <c r="B79" s="2581"/>
      <c r="C79" s="136" t="s">
        <v>13</v>
      </c>
      <c r="D79" s="1646">
        <f>SUM(D72:D78)</f>
        <v>0</v>
      </c>
      <c r="E79" s="1646">
        <f>SUM(E72:E78)</f>
        <v>11</v>
      </c>
      <c r="F79" s="1646">
        <f>SUM(F72:F78)</f>
        <v>3</v>
      </c>
      <c r="G79" s="1647">
        <f>SUM(G72:G78)</f>
        <v>14</v>
      </c>
      <c r="H79" s="1648">
        <v>0</v>
      </c>
      <c r="I79" s="1649">
        <f t="shared" ref="I79:O79" si="6">SUM(I72:I78)</f>
        <v>0</v>
      </c>
      <c r="J79" s="1650">
        <f t="shared" si="6"/>
        <v>0</v>
      </c>
      <c r="K79" s="1650">
        <f t="shared" si="6"/>
        <v>0</v>
      </c>
      <c r="L79" s="1650">
        <f t="shared" si="6"/>
        <v>0</v>
      </c>
      <c r="M79" s="1650">
        <f t="shared" si="6"/>
        <v>0</v>
      </c>
      <c r="N79" s="1650">
        <f t="shared" si="6"/>
        <v>0</v>
      </c>
      <c r="O79" s="1651">
        <f t="shared" si="6"/>
        <v>0</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1546" t="s">
        <v>56</v>
      </c>
      <c r="B84" s="1547" t="s">
        <v>178</v>
      </c>
      <c r="C84" s="149" t="s">
        <v>9</v>
      </c>
      <c r="D84" s="150" t="s">
        <v>58</v>
      </c>
      <c r="E84" s="151" t="s">
        <v>59</v>
      </c>
      <c r="F84" s="152" t="s">
        <v>60</v>
      </c>
      <c r="G84" s="152" t="s">
        <v>61</v>
      </c>
      <c r="H84" s="152" t="s">
        <v>62</v>
      </c>
      <c r="I84" s="152" t="s">
        <v>63</v>
      </c>
      <c r="J84" s="152" t="s">
        <v>64</v>
      </c>
      <c r="K84" s="153" t="s">
        <v>65</v>
      </c>
    </row>
    <row r="85" spans="1:16" ht="15" customHeight="1">
      <c r="A85" s="1938"/>
      <c r="B85" s="1899"/>
      <c r="C85" s="72">
        <v>2014</v>
      </c>
      <c r="D85" s="154"/>
      <c r="E85" s="155"/>
      <c r="F85" s="31"/>
      <c r="G85" s="31"/>
      <c r="H85" s="31"/>
      <c r="I85" s="31"/>
      <c r="J85" s="31"/>
      <c r="K85" s="34"/>
    </row>
    <row r="86" spans="1:16">
      <c r="A86" s="1939"/>
      <c r="B86" s="1899"/>
      <c r="C86" s="73">
        <v>2015</v>
      </c>
      <c r="D86" s="156"/>
      <c r="E86" s="112"/>
      <c r="F86" s="38"/>
      <c r="G86" s="38"/>
      <c r="H86" s="38"/>
      <c r="I86" s="38"/>
      <c r="J86" s="38"/>
      <c r="K86" s="88"/>
    </row>
    <row r="87" spans="1:16">
      <c r="A87" s="1939"/>
      <c r="B87" s="1899"/>
      <c r="C87" s="73">
        <v>2016</v>
      </c>
      <c r="D87" s="156"/>
      <c r="E87" s="112"/>
      <c r="F87" s="38"/>
      <c r="G87" s="38"/>
      <c r="H87" s="38"/>
      <c r="I87" s="38"/>
      <c r="J87" s="38"/>
      <c r="K87" s="88"/>
    </row>
    <row r="88" spans="1:16">
      <c r="A88" s="1939"/>
      <c r="B88" s="1899"/>
      <c r="C88" s="73">
        <v>2017</v>
      </c>
      <c r="D88" s="156"/>
      <c r="E88" s="112"/>
      <c r="F88" s="38"/>
      <c r="G88" s="38"/>
      <c r="H88" s="38"/>
      <c r="I88" s="38"/>
      <c r="J88" s="38"/>
      <c r="K88" s="88"/>
    </row>
    <row r="89" spans="1:16">
      <c r="A89" s="1939"/>
      <c r="B89" s="1899"/>
      <c r="C89" s="73">
        <v>2018</v>
      </c>
      <c r="D89" s="156"/>
      <c r="E89" s="112"/>
      <c r="F89" s="38"/>
      <c r="G89" s="38"/>
      <c r="H89" s="38"/>
      <c r="I89" s="38"/>
      <c r="J89" s="38"/>
      <c r="K89" s="88"/>
    </row>
    <row r="90" spans="1:16">
      <c r="A90" s="1939"/>
      <c r="B90" s="1899"/>
      <c r="C90" s="73">
        <v>2019</v>
      </c>
      <c r="D90" s="156"/>
      <c r="E90" s="112"/>
      <c r="F90" s="38"/>
      <c r="G90" s="38"/>
      <c r="H90" s="38"/>
      <c r="I90" s="38"/>
      <c r="J90" s="38"/>
      <c r="K90" s="88"/>
    </row>
    <row r="91" spans="1:16">
      <c r="A91" s="1939"/>
      <c r="B91" s="1899"/>
      <c r="C91" s="73">
        <v>2020</v>
      </c>
      <c r="D91" s="156"/>
      <c r="E91" s="112"/>
      <c r="F91" s="38"/>
      <c r="G91" s="38"/>
      <c r="H91" s="38"/>
      <c r="I91" s="38"/>
      <c r="J91" s="38"/>
      <c r="K91" s="88"/>
    </row>
    <row r="92" spans="1:16" ht="18" customHeight="1" thickBot="1">
      <c r="A92" s="1940"/>
      <c r="B92" s="1900"/>
      <c r="C92" s="136" t="s">
        <v>13</v>
      </c>
      <c r="D92" s="157">
        <f t="shared" ref="D92:I92" si="7">SUM(D85:D91)</f>
        <v>0</v>
      </c>
      <c r="E92" s="115">
        <f t="shared" si="7"/>
        <v>0</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405" t="s">
        <v>68</v>
      </c>
      <c r="B96" s="2407" t="s">
        <v>179</v>
      </c>
      <c r="C96" s="2413" t="s">
        <v>9</v>
      </c>
      <c r="D96" s="1916" t="s">
        <v>70</v>
      </c>
      <c r="E96" s="1917"/>
      <c r="F96" s="162" t="s">
        <v>71</v>
      </c>
      <c r="G96" s="1548"/>
      <c r="H96" s="1548"/>
      <c r="I96" s="1548"/>
      <c r="J96" s="1548"/>
      <c r="K96" s="1548"/>
      <c r="L96" s="1548"/>
      <c r="M96" s="1549"/>
      <c r="N96" s="165"/>
      <c r="O96" s="165"/>
      <c r="P96" s="165"/>
    </row>
    <row r="97" spans="1:16" ht="100.5" customHeight="1">
      <c r="A97" s="1910"/>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1898"/>
      <c r="B98" s="1899"/>
      <c r="C98" s="106">
        <v>2014</v>
      </c>
      <c r="D98" s="30"/>
      <c r="E98" s="31"/>
      <c r="F98" s="174"/>
      <c r="G98" s="175"/>
      <c r="H98" s="175"/>
      <c r="I98" s="175"/>
      <c r="J98" s="175"/>
      <c r="K98" s="175"/>
      <c r="L98" s="175"/>
      <c r="M98" s="176"/>
      <c r="N98" s="165"/>
      <c r="O98" s="165"/>
      <c r="P98" s="165"/>
    </row>
    <row r="99" spans="1:16" ht="16.5" customHeight="1">
      <c r="A99" s="1891"/>
      <c r="B99" s="1899"/>
      <c r="C99" s="110">
        <v>2015</v>
      </c>
      <c r="D99" s="37"/>
      <c r="E99" s="38"/>
      <c r="F99" s="177"/>
      <c r="G99" s="178"/>
      <c r="H99" s="178"/>
      <c r="I99" s="178"/>
      <c r="J99" s="178"/>
      <c r="K99" s="178"/>
      <c r="L99" s="178"/>
      <c r="M99" s="179"/>
      <c r="N99" s="165"/>
      <c r="O99" s="165"/>
      <c r="P99" s="165"/>
    </row>
    <row r="100" spans="1:16" ht="16.5" customHeight="1">
      <c r="A100" s="1891"/>
      <c r="B100" s="1899"/>
      <c r="C100" s="110">
        <v>2016</v>
      </c>
      <c r="D100" s="37"/>
      <c r="E100" s="38"/>
      <c r="F100" s="177"/>
      <c r="G100" s="178"/>
      <c r="H100" s="178"/>
      <c r="I100" s="178"/>
      <c r="J100" s="178"/>
      <c r="K100" s="178"/>
      <c r="L100" s="178"/>
      <c r="M100" s="179"/>
      <c r="N100" s="165"/>
      <c r="O100" s="165"/>
      <c r="P100" s="165"/>
    </row>
    <row r="101" spans="1:16" ht="16.5" customHeight="1">
      <c r="A101" s="1891"/>
      <c r="B101" s="1899"/>
      <c r="C101" s="110">
        <v>2017</v>
      </c>
      <c r="D101" s="37"/>
      <c r="E101" s="38"/>
      <c r="F101" s="177"/>
      <c r="G101" s="178"/>
      <c r="H101" s="178"/>
      <c r="I101" s="178"/>
      <c r="J101" s="178"/>
      <c r="K101" s="178"/>
      <c r="L101" s="178"/>
      <c r="M101" s="179"/>
      <c r="N101" s="165"/>
      <c r="O101" s="165"/>
      <c r="P101" s="165"/>
    </row>
    <row r="102" spans="1:16" ht="15.75" customHeight="1">
      <c r="A102" s="1891"/>
      <c r="B102" s="1899"/>
      <c r="C102" s="110">
        <v>2018</v>
      </c>
      <c r="D102" s="37"/>
      <c r="E102" s="38"/>
      <c r="F102" s="177"/>
      <c r="G102" s="178"/>
      <c r="H102" s="178"/>
      <c r="I102" s="178"/>
      <c r="J102" s="178"/>
      <c r="K102" s="178"/>
      <c r="L102" s="178"/>
      <c r="M102" s="179"/>
      <c r="N102" s="165"/>
      <c r="O102" s="165"/>
      <c r="P102" s="165"/>
    </row>
    <row r="103" spans="1:16" ht="14.25" customHeight="1">
      <c r="A103" s="1891"/>
      <c r="B103" s="1899"/>
      <c r="C103" s="110">
        <v>2019</v>
      </c>
      <c r="D103" s="37"/>
      <c r="E103" s="38"/>
      <c r="F103" s="177"/>
      <c r="G103" s="178"/>
      <c r="H103" s="178"/>
      <c r="I103" s="178"/>
      <c r="J103" s="178"/>
      <c r="K103" s="178"/>
      <c r="L103" s="178"/>
      <c r="M103" s="179"/>
      <c r="N103" s="165"/>
      <c r="O103" s="165"/>
      <c r="P103" s="165"/>
    </row>
    <row r="104" spans="1:16" ht="14.25" customHeight="1">
      <c r="A104" s="1891"/>
      <c r="B104" s="1899"/>
      <c r="C104" s="110">
        <v>2020</v>
      </c>
      <c r="D104" s="37"/>
      <c r="E104" s="38"/>
      <c r="F104" s="177"/>
      <c r="G104" s="178"/>
      <c r="H104" s="178"/>
      <c r="I104" s="178"/>
      <c r="J104" s="178"/>
      <c r="K104" s="178"/>
      <c r="L104" s="178"/>
      <c r="M104" s="179"/>
      <c r="N104" s="165"/>
      <c r="O104" s="165"/>
      <c r="P104" s="165"/>
    </row>
    <row r="105" spans="1:16" ht="19.5" customHeight="1" thickBot="1">
      <c r="A105" s="1915"/>
      <c r="B105" s="1900"/>
      <c r="C105" s="113" t="s">
        <v>13</v>
      </c>
      <c r="D105" s="139">
        <f>SUM(D98:D104)</f>
        <v>0</v>
      </c>
      <c r="E105" s="116">
        <f t="shared" ref="E105:K105" si="8">SUM(E98:E104)</f>
        <v>0</v>
      </c>
      <c r="F105" s="180">
        <f t="shared" si="8"/>
        <v>0</v>
      </c>
      <c r="G105" s="181">
        <f t="shared" si="8"/>
        <v>0</v>
      </c>
      <c r="H105" s="181">
        <f t="shared" si="8"/>
        <v>0</v>
      </c>
      <c r="I105" s="181">
        <f>SUM(I98:I104)</f>
        <v>0</v>
      </c>
      <c r="J105" s="181">
        <f t="shared" si="8"/>
        <v>0</v>
      </c>
      <c r="K105" s="181">
        <f t="shared" si="8"/>
        <v>0</v>
      </c>
      <c r="L105" s="181">
        <f>SUM(L98:L104)</f>
        <v>0</v>
      </c>
      <c r="M105" s="182">
        <f>SUM(M98:M104)</f>
        <v>0</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405" t="s">
        <v>77</v>
      </c>
      <c r="B107" s="2407" t="s">
        <v>179</v>
      </c>
      <c r="C107" s="2413" t="s">
        <v>9</v>
      </c>
      <c r="D107" s="2414" t="s">
        <v>78</v>
      </c>
      <c r="E107" s="162" t="s">
        <v>79</v>
      </c>
      <c r="F107" s="1548"/>
      <c r="G107" s="1548"/>
      <c r="H107" s="1548"/>
      <c r="I107" s="1548"/>
      <c r="J107" s="1548"/>
      <c r="K107" s="1548"/>
      <c r="L107" s="1549"/>
      <c r="M107" s="185"/>
      <c r="N107" s="185"/>
    </row>
    <row r="108" spans="1:16" ht="110.25"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1898"/>
      <c r="B109" s="1899"/>
      <c r="C109" s="106">
        <v>2014</v>
      </c>
      <c r="D109" s="31"/>
      <c r="E109" s="174"/>
      <c r="F109" s="175"/>
      <c r="G109" s="175"/>
      <c r="H109" s="175"/>
      <c r="I109" s="175"/>
      <c r="J109" s="175"/>
      <c r="K109" s="175"/>
      <c r="L109" s="176"/>
      <c r="M109" s="185"/>
      <c r="N109" s="185"/>
    </row>
    <row r="110" spans="1:16">
      <c r="A110" s="1891"/>
      <c r="B110" s="1899"/>
      <c r="C110" s="110">
        <v>2015</v>
      </c>
      <c r="D110" s="38"/>
      <c r="E110" s="177"/>
      <c r="F110" s="178"/>
      <c r="G110" s="178"/>
      <c r="H110" s="178"/>
      <c r="I110" s="178"/>
      <c r="J110" s="178"/>
      <c r="K110" s="178"/>
      <c r="L110" s="179"/>
      <c r="M110" s="185"/>
      <c r="N110" s="185"/>
    </row>
    <row r="111" spans="1:16">
      <c r="A111" s="1891"/>
      <c r="B111" s="1899"/>
      <c r="C111" s="110">
        <v>2016</v>
      </c>
      <c r="D111" s="38"/>
      <c r="E111" s="177"/>
      <c r="F111" s="178"/>
      <c r="G111" s="178"/>
      <c r="H111" s="178"/>
      <c r="I111" s="178"/>
      <c r="J111" s="178"/>
      <c r="K111" s="178"/>
      <c r="L111" s="179"/>
      <c r="M111" s="185"/>
      <c r="N111" s="185"/>
    </row>
    <row r="112" spans="1:16">
      <c r="A112" s="1891"/>
      <c r="B112" s="1899"/>
      <c r="C112" s="110">
        <v>2017</v>
      </c>
      <c r="D112" s="38"/>
      <c r="E112" s="177"/>
      <c r="F112" s="178"/>
      <c r="G112" s="178"/>
      <c r="H112" s="178"/>
      <c r="I112" s="178"/>
      <c r="J112" s="178"/>
      <c r="K112" s="178"/>
      <c r="L112" s="179"/>
      <c r="M112" s="185"/>
      <c r="N112" s="185"/>
    </row>
    <row r="113" spans="1:14">
      <c r="A113" s="1891"/>
      <c r="B113" s="1899"/>
      <c r="C113" s="110">
        <v>2018</v>
      </c>
      <c r="D113" s="38"/>
      <c r="E113" s="177"/>
      <c r="F113" s="178"/>
      <c r="G113" s="178"/>
      <c r="H113" s="178"/>
      <c r="I113" s="178"/>
      <c r="J113" s="178"/>
      <c r="K113" s="178"/>
      <c r="L113" s="179"/>
      <c r="M113" s="185"/>
      <c r="N113" s="185"/>
    </row>
    <row r="114" spans="1:14">
      <c r="A114" s="1891"/>
      <c r="B114" s="1899"/>
      <c r="C114" s="110">
        <v>2019</v>
      </c>
      <c r="D114" s="38"/>
      <c r="E114" s="177"/>
      <c r="F114" s="178"/>
      <c r="G114" s="178"/>
      <c r="H114" s="178"/>
      <c r="I114" s="178"/>
      <c r="J114" s="178"/>
      <c r="K114" s="178"/>
      <c r="L114" s="179"/>
      <c r="M114" s="185"/>
      <c r="N114" s="185"/>
    </row>
    <row r="115" spans="1:14">
      <c r="A115" s="1891"/>
      <c r="B115" s="1899"/>
      <c r="C115" s="110">
        <v>2020</v>
      </c>
      <c r="D115" s="38"/>
      <c r="E115" s="177"/>
      <c r="F115" s="178"/>
      <c r="G115" s="178"/>
      <c r="H115" s="178"/>
      <c r="I115" s="178"/>
      <c r="J115" s="178"/>
      <c r="K115" s="178"/>
      <c r="L115" s="179"/>
      <c r="M115" s="185"/>
      <c r="N115" s="185"/>
    </row>
    <row r="116" spans="1:14" ht="25.5" customHeight="1" thickBot="1">
      <c r="A116" s="1915"/>
      <c r="B116" s="1900"/>
      <c r="C116" s="113" t="s">
        <v>13</v>
      </c>
      <c r="D116" s="116">
        <f t="shared" ref="D116:I116" si="9">SUM(D109:D115)</f>
        <v>0</v>
      </c>
      <c r="E116" s="180">
        <f t="shared" si="9"/>
        <v>0</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405" t="s">
        <v>81</v>
      </c>
      <c r="B118" s="2407" t="s">
        <v>179</v>
      </c>
      <c r="C118" s="2413" t="s">
        <v>9</v>
      </c>
      <c r="D118" s="2414" t="s">
        <v>82</v>
      </c>
      <c r="E118" s="162" t="s">
        <v>79</v>
      </c>
      <c r="F118" s="1548"/>
      <c r="G118" s="1548"/>
      <c r="H118" s="1548"/>
      <c r="I118" s="1548"/>
      <c r="J118" s="1548"/>
      <c r="K118" s="1548"/>
      <c r="L118" s="1549"/>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1898"/>
      <c r="B120" s="1899"/>
      <c r="C120" s="106">
        <v>2014</v>
      </c>
      <c r="D120" s="31"/>
      <c r="E120" s="174"/>
      <c r="F120" s="175"/>
      <c r="G120" s="175"/>
      <c r="H120" s="175"/>
      <c r="I120" s="175"/>
      <c r="J120" s="175"/>
      <c r="K120" s="175"/>
      <c r="L120" s="176"/>
      <c r="M120" s="185"/>
      <c r="N120" s="185"/>
    </row>
    <row r="121" spans="1:14">
      <c r="A121" s="1891"/>
      <c r="B121" s="1899"/>
      <c r="C121" s="110">
        <v>2015</v>
      </c>
      <c r="D121" s="38"/>
      <c r="E121" s="177"/>
      <c r="F121" s="178"/>
      <c r="G121" s="178"/>
      <c r="H121" s="178"/>
      <c r="I121" s="178"/>
      <c r="J121" s="178"/>
      <c r="K121" s="178"/>
      <c r="L121" s="179"/>
      <c r="M121" s="185"/>
      <c r="N121" s="185"/>
    </row>
    <row r="122" spans="1:14">
      <c r="A122" s="1891"/>
      <c r="B122" s="1899"/>
      <c r="C122" s="110">
        <v>2016</v>
      </c>
      <c r="D122" s="38"/>
      <c r="E122" s="177"/>
      <c r="F122" s="178"/>
      <c r="G122" s="178"/>
      <c r="H122" s="178"/>
      <c r="I122" s="178"/>
      <c r="J122" s="178"/>
      <c r="K122" s="178"/>
      <c r="L122" s="179"/>
      <c r="M122" s="185"/>
      <c r="N122" s="185"/>
    </row>
    <row r="123" spans="1:14">
      <c r="A123" s="1891"/>
      <c r="B123" s="1899"/>
      <c r="C123" s="110">
        <v>2017</v>
      </c>
      <c r="D123" s="38"/>
      <c r="E123" s="177"/>
      <c r="F123" s="178"/>
      <c r="G123" s="178"/>
      <c r="H123" s="178"/>
      <c r="I123" s="178"/>
      <c r="J123" s="178"/>
      <c r="K123" s="178"/>
      <c r="L123" s="179"/>
      <c r="M123" s="185"/>
      <c r="N123" s="185"/>
    </row>
    <row r="124" spans="1:14">
      <c r="A124" s="1891"/>
      <c r="B124" s="1899"/>
      <c r="C124" s="110">
        <v>2018</v>
      </c>
      <c r="D124" s="38"/>
      <c r="E124" s="177"/>
      <c r="F124" s="178"/>
      <c r="G124" s="178"/>
      <c r="H124" s="178"/>
      <c r="I124" s="178"/>
      <c r="J124" s="178"/>
      <c r="K124" s="178"/>
      <c r="L124" s="179"/>
      <c r="M124" s="185"/>
      <c r="N124" s="185"/>
    </row>
    <row r="125" spans="1:14">
      <c r="A125" s="1891"/>
      <c r="B125" s="1899"/>
      <c r="C125" s="110">
        <v>2019</v>
      </c>
      <c r="D125" s="38"/>
      <c r="E125" s="177"/>
      <c r="F125" s="178"/>
      <c r="G125" s="178"/>
      <c r="H125" s="178"/>
      <c r="I125" s="178"/>
      <c r="J125" s="178"/>
      <c r="K125" s="178"/>
      <c r="L125" s="179"/>
      <c r="M125" s="185"/>
      <c r="N125" s="185"/>
    </row>
    <row r="126" spans="1:14">
      <c r="A126" s="1891"/>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405" t="s">
        <v>84</v>
      </c>
      <c r="B129" s="2407" t="s">
        <v>179</v>
      </c>
      <c r="C129" s="1550" t="s">
        <v>9</v>
      </c>
      <c r="D129" s="189" t="s">
        <v>85</v>
      </c>
      <c r="E129" s="1551"/>
      <c r="F129" s="1551"/>
      <c r="G129" s="191"/>
      <c r="H129" s="185"/>
      <c r="I129" s="185"/>
      <c r="J129" s="185"/>
      <c r="K129" s="185"/>
      <c r="L129" s="185"/>
      <c r="M129" s="185"/>
      <c r="N129" s="185"/>
    </row>
    <row r="130" spans="1:16" ht="77.25" customHeight="1">
      <c r="A130" s="1910"/>
      <c r="B130" s="1912"/>
      <c r="C130" s="1528"/>
      <c r="D130" s="166" t="s">
        <v>86</v>
      </c>
      <c r="E130" s="193" t="s">
        <v>87</v>
      </c>
      <c r="F130" s="167" t="s">
        <v>88</v>
      </c>
      <c r="G130" s="194" t="s">
        <v>13</v>
      </c>
      <c r="H130" s="185"/>
      <c r="I130" s="185"/>
      <c r="J130" s="185"/>
      <c r="K130" s="185"/>
      <c r="L130" s="185"/>
      <c r="M130" s="185"/>
      <c r="N130" s="185"/>
    </row>
    <row r="131" spans="1:16" ht="15" customHeight="1">
      <c r="A131" s="1874"/>
      <c r="B131" s="1855"/>
      <c r="C131" s="106">
        <v>2015</v>
      </c>
      <c r="D131" s="30"/>
      <c r="E131" s="31"/>
      <c r="F131" s="31"/>
      <c r="G131" s="195">
        <f t="shared" ref="G131:G136" si="11">SUM(D131:F131)</f>
        <v>0</v>
      </c>
      <c r="H131" s="185"/>
      <c r="I131" s="185"/>
      <c r="J131" s="185"/>
      <c r="K131" s="185"/>
      <c r="L131" s="185"/>
      <c r="M131" s="185"/>
      <c r="N131" s="185"/>
    </row>
    <row r="132" spans="1:16">
      <c r="A132" s="1854"/>
      <c r="B132" s="1855"/>
      <c r="C132" s="110">
        <v>2016</v>
      </c>
      <c r="D132" s="37"/>
      <c r="E132" s="38"/>
      <c r="F132" s="38"/>
      <c r="G132" s="195">
        <f t="shared" si="11"/>
        <v>0</v>
      </c>
      <c r="H132" s="185"/>
      <c r="I132" s="185"/>
      <c r="J132" s="185"/>
      <c r="K132" s="185"/>
      <c r="L132" s="185"/>
      <c r="M132" s="185"/>
      <c r="N132" s="185"/>
    </row>
    <row r="133" spans="1:16">
      <c r="A133" s="1854"/>
      <c r="B133" s="1855"/>
      <c r="C133" s="110">
        <v>2017</v>
      </c>
      <c r="D133" s="37"/>
      <c r="E133" s="38"/>
      <c r="F133" s="38"/>
      <c r="G133" s="195">
        <f t="shared" si="11"/>
        <v>0</v>
      </c>
      <c r="H133" s="185"/>
      <c r="I133" s="185"/>
      <c r="J133" s="185"/>
      <c r="K133" s="185"/>
      <c r="L133" s="185"/>
      <c r="M133" s="185"/>
      <c r="N133" s="185"/>
    </row>
    <row r="134" spans="1:16">
      <c r="A134" s="1854"/>
      <c r="B134" s="1855"/>
      <c r="C134" s="110">
        <v>2018</v>
      </c>
      <c r="D134" s="37"/>
      <c r="E134" s="38"/>
      <c r="F134" s="38"/>
      <c r="G134" s="195">
        <f t="shared" si="11"/>
        <v>0</v>
      </c>
      <c r="H134" s="185"/>
      <c r="I134" s="185"/>
      <c r="J134" s="185"/>
      <c r="K134" s="185"/>
      <c r="L134" s="185"/>
      <c r="M134" s="185"/>
      <c r="N134" s="185"/>
    </row>
    <row r="135" spans="1:16">
      <c r="A135" s="1854"/>
      <c r="B135" s="1855"/>
      <c r="C135" s="110">
        <v>2019</v>
      </c>
      <c r="D135" s="37"/>
      <c r="E135" s="38"/>
      <c r="F135" s="38"/>
      <c r="G135" s="195">
        <f t="shared" si="11"/>
        <v>0</v>
      </c>
      <c r="H135" s="185"/>
      <c r="I135" s="185"/>
      <c r="J135" s="185"/>
      <c r="K135" s="185"/>
      <c r="L135" s="185"/>
      <c r="M135" s="185"/>
      <c r="N135" s="185"/>
    </row>
    <row r="136" spans="1:16">
      <c r="A136" s="1854"/>
      <c r="B136" s="1855"/>
      <c r="C136" s="110">
        <v>2020</v>
      </c>
      <c r="D136" s="37"/>
      <c r="E136" s="38"/>
      <c r="F136" s="38"/>
      <c r="G136" s="195">
        <f t="shared" si="11"/>
        <v>0</v>
      </c>
      <c r="H136" s="185"/>
      <c r="I136" s="185"/>
      <c r="J136" s="185"/>
      <c r="K136" s="185"/>
      <c r="L136" s="185"/>
      <c r="M136" s="185"/>
      <c r="N136" s="185"/>
    </row>
    <row r="137" spans="1:16" ht="17.25" customHeight="1" thickBot="1">
      <c r="A137" s="1856"/>
      <c r="B137" s="1857"/>
      <c r="C137" s="113" t="s">
        <v>13</v>
      </c>
      <c r="D137" s="139">
        <f>SUM(D131:D136)</f>
        <v>0</v>
      </c>
      <c r="E137" s="139">
        <f t="shared" ref="E137:F137" si="12">SUM(E131:E136)</f>
        <v>0</v>
      </c>
      <c r="F137" s="139">
        <f t="shared" si="12"/>
        <v>0</v>
      </c>
      <c r="G137" s="196">
        <f>SUM(G131:G136)</f>
        <v>0</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409" t="s">
        <v>91</v>
      </c>
      <c r="B142" s="2402" t="s">
        <v>179</v>
      </c>
      <c r="C142" s="2404" t="s">
        <v>9</v>
      </c>
      <c r="D142" s="1555" t="s">
        <v>92</v>
      </c>
      <c r="E142" s="1556"/>
      <c r="F142" s="1556"/>
      <c r="G142" s="1556"/>
      <c r="H142" s="1556"/>
      <c r="I142" s="1557"/>
      <c r="J142" s="2396" t="s">
        <v>93</v>
      </c>
      <c r="K142" s="2397"/>
      <c r="L142" s="2397"/>
      <c r="M142" s="2397"/>
      <c r="N142" s="2398"/>
      <c r="O142" s="165"/>
      <c r="P142" s="165"/>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c r="B144" s="1899"/>
      <c r="C144" s="106">
        <v>2014</v>
      </c>
      <c r="D144" s="30"/>
      <c r="E144" s="30"/>
      <c r="F144" s="31"/>
      <c r="G144" s="175"/>
      <c r="H144" s="175"/>
      <c r="I144" s="213">
        <f>D144+F144+G144+H144</f>
        <v>0</v>
      </c>
      <c r="J144" s="214"/>
      <c r="K144" s="215"/>
      <c r="L144" s="214"/>
      <c r="M144" s="215"/>
      <c r="N144" s="216"/>
      <c r="O144" s="165"/>
      <c r="P144" s="165"/>
    </row>
    <row r="145" spans="1:16" ht="19.5" customHeight="1">
      <c r="A145" s="1891"/>
      <c r="B145" s="1899"/>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1891"/>
      <c r="B146" s="1899"/>
      <c r="C146" s="110">
        <v>2016</v>
      </c>
      <c r="D146" s="37"/>
      <c r="E146" s="37"/>
      <c r="F146" s="38"/>
      <c r="G146" s="178"/>
      <c r="H146" s="178"/>
      <c r="I146" s="213">
        <f t="shared" si="13"/>
        <v>0</v>
      </c>
      <c r="J146" s="217"/>
      <c r="K146" s="218"/>
      <c r="L146" s="217"/>
      <c r="M146" s="218"/>
      <c r="N146" s="219"/>
      <c r="O146" s="165"/>
      <c r="P146" s="165"/>
    </row>
    <row r="147" spans="1:16" ht="17.25" customHeight="1">
      <c r="A147" s="1891"/>
      <c r="B147" s="1899"/>
      <c r="C147" s="110">
        <v>2017</v>
      </c>
      <c r="D147" s="37"/>
      <c r="E147" s="37"/>
      <c r="F147" s="38"/>
      <c r="G147" s="178"/>
      <c r="H147" s="178"/>
      <c r="I147" s="213">
        <f t="shared" si="13"/>
        <v>0</v>
      </c>
      <c r="J147" s="217"/>
      <c r="K147" s="218"/>
      <c r="L147" s="217"/>
      <c r="M147" s="218"/>
      <c r="N147" s="219"/>
      <c r="O147" s="165"/>
      <c r="P147" s="165"/>
    </row>
    <row r="148" spans="1:16" ht="19.5" customHeight="1">
      <c r="A148" s="1891"/>
      <c r="B148" s="1899"/>
      <c r="C148" s="110">
        <v>2018</v>
      </c>
      <c r="D148" s="37"/>
      <c r="E148" s="37"/>
      <c r="F148" s="38"/>
      <c r="G148" s="178"/>
      <c r="H148" s="178"/>
      <c r="I148" s="213">
        <f t="shared" si="13"/>
        <v>0</v>
      </c>
      <c r="J148" s="217"/>
      <c r="K148" s="218"/>
      <c r="L148" s="217"/>
      <c r="M148" s="218"/>
      <c r="N148" s="219"/>
      <c r="O148" s="165"/>
      <c r="P148" s="165"/>
    </row>
    <row r="149" spans="1:16" ht="19.5" customHeight="1">
      <c r="A149" s="1891"/>
      <c r="B149" s="1899"/>
      <c r="C149" s="110">
        <v>2019</v>
      </c>
      <c r="D149" s="37"/>
      <c r="E149" s="37"/>
      <c r="F149" s="38"/>
      <c r="G149" s="178"/>
      <c r="H149" s="178"/>
      <c r="I149" s="213">
        <f t="shared" si="13"/>
        <v>0</v>
      </c>
      <c r="J149" s="217"/>
      <c r="K149" s="218"/>
      <c r="L149" s="217"/>
      <c r="M149" s="218"/>
      <c r="N149" s="219"/>
      <c r="O149" s="165"/>
      <c r="P149" s="165"/>
    </row>
    <row r="150" spans="1:16" ht="18.75" customHeight="1">
      <c r="A150" s="1891"/>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2400" t="s">
        <v>105</v>
      </c>
      <c r="B153" s="2402" t="s">
        <v>179</v>
      </c>
      <c r="C153" s="2403" t="s">
        <v>9</v>
      </c>
      <c r="D153" s="1563" t="s">
        <v>106</v>
      </c>
      <c r="E153" s="1563"/>
      <c r="F153" s="1564"/>
      <c r="G153" s="1564"/>
      <c r="H153" s="1563" t="s">
        <v>107</v>
      </c>
      <c r="I153" s="1563"/>
      <c r="J153" s="1565"/>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1898"/>
      <c r="B155" s="1899"/>
      <c r="C155" s="233">
        <v>2014</v>
      </c>
      <c r="D155" s="214"/>
      <c r="E155" s="175"/>
      <c r="F155" s="215"/>
      <c r="G155" s="213">
        <f>SUM(D155:F155)</f>
        <v>0</v>
      </c>
      <c r="H155" s="214"/>
      <c r="I155" s="175"/>
      <c r="J155" s="176"/>
      <c r="O155" s="165"/>
      <c r="P155" s="165"/>
    </row>
    <row r="156" spans="1:16" ht="19.5" customHeight="1">
      <c r="A156" s="1891"/>
      <c r="B156" s="1899"/>
      <c r="C156" s="234">
        <v>2015</v>
      </c>
      <c r="D156" s="217"/>
      <c r="E156" s="178"/>
      <c r="F156" s="218"/>
      <c r="G156" s="213">
        <f t="shared" ref="G156:G161" si="15">SUM(D156:F156)</f>
        <v>0</v>
      </c>
      <c r="H156" s="217"/>
      <c r="I156" s="178"/>
      <c r="J156" s="179"/>
      <c r="O156" s="165"/>
      <c r="P156" s="165"/>
    </row>
    <row r="157" spans="1:16" ht="17.25" customHeight="1">
      <c r="A157" s="1891"/>
      <c r="B157" s="1899"/>
      <c r="C157" s="234">
        <v>2016</v>
      </c>
      <c r="D157" s="217"/>
      <c r="E157" s="178"/>
      <c r="F157" s="218"/>
      <c r="G157" s="213">
        <f t="shared" si="15"/>
        <v>0</v>
      </c>
      <c r="H157" s="217"/>
      <c r="I157" s="178"/>
      <c r="J157" s="179"/>
      <c r="O157" s="165"/>
      <c r="P157" s="165"/>
    </row>
    <row r="158" spans="1:16" ht="15" customHeight="1">
      <c r="A158" s="1891"/>
      <c r="B158" s="1899"/>
      <c r="C158" s="234">
        <v>2017</v>
      </c>
      <c r="D158" s="217"/>
      <c r="E158" s="178"/>
      <c r="F158" s="218"/>
      <c r="G158" s="213">
        <f t="shared" si="15"/>
        <v>0</v>
      </c>
      <c r="H158" s="217"/>
      <c r="I158" s="178"/>
      <c r="J158" s="179"/>
      <c r="O158" s="165"/>
      <c r="P158" s="165"/>
    </row>
    <row r="159" spans="1:16" ht="19.5" customHeight="1">
      <c r="A159" s="1891"/>
      <c r="B159" s="1899"/>
      <c r="C159" s="234">
        <v>2018</v>
      </c>
      <c r="D159" s="217"/>
      <c r="E159" s="178"/>
      <c r="F159" s="218"/>
      <c r="G159" s="213">
        <f t="shared" si="15"/>
        <v>0</v>
      </c>
      <c r="H159" s="217"/>
      <c r="I159" s="178"/>
      <c r="J159" s="179"/>
      <c r="O159" s="165"/>
      <c r="P159" s="165"/>
    </row>
    <row r="160" spans="1:16" ht="15" customHeight="1">
      <c r="A160" s="1891"/>
      <c r="B160" s="1899"/>
      <c r="C160" s="234">
        <v>2019</v>
      </c>
      <c r="D160" s="217"/>
      <c r="E160" s="178"/>
      <c r="F160" s="218"/>
      <c r="G160" s="213">
        <f t="shared" si="15"/>
        <v>0</v>
      </c>
      <c r="H160" s="217"/>
      <c r="I160" s="178"/>
      <c r="J160" s="179"/>
      <c r="O160" s="165"/>
      <c r="P160" s="165"/>
    </row>
    <row r="161" spans="1:18" ht="17.25" customHeight="1">
      <c r="A161" s="1891"/>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1566"/>
      <c r="F163" s="165"/>
      <c r="G163" s="165"/>
      <c r="H163" s="165"/>
      <c r="I163" s="165"/>
      <c r="J163" s="241"/>
      <c r="K163" s="242"/>
    </row>
    <row r="164" spans="1:18" ht="95.25" customHeight="1">
      <c r="A164" s="243" t="s">
        <v>115</v>
      </c>
      <c r="B164" s="405" t="s">
        <v>181</v>
      </c>
      <c r="C164" s="1567" t="s">
        <v>9</v>
      </c>
      <c r="D164" s="246" t="s">
        <v>117</v>
      </c>
      <c r="E164" s="246" t="s">
        <v>118</v>
      </c>
      <c r="F164" s="1568" t="s">
        <v>119</v>
      </c>
      <c r="G164" s="246" t="s">
        <v>120</v>
      </c>
      <c r="H164" s="246" t="s">
        <v>121</v>
      </c>
      <c r="I164" s="248" t="s">
        <v>122</v>
      </c>
      <c r="J164" s="249" t="s">
        <v>123</v>
      </c>
      <c r="K164" s="249" t="s">
        <v>124</v>
      </c>
      <c r="L164" s="1531"/>
    </row>
    <row r="165" spans="1:18" ht="15.75" customHeight="1">
      <c r="A165" s="1878"/>
      <c r="B165" s="1879"/>
      <c r="C165" s="251">
        <v>2014</v>
      </c>
      <c r="D165" s="175"/>
      <c r="E165" s="175"/>
      <c r="F165" s="175"/>
      <c r="G165" s="175"/>
      <c r="H165" s="175"/>
      <c r="I165" s="176"/>
      <c r="J165" s="252">
        <f>SUM(D165,F165,H165)</f>
        <v>0</v>
      </c>
      <c r="K165" s="253">
        <f>SUM(E165,G165,I165)</f>
        <v>0</v>
      </c>
      <c r="L165" s="1531"/>
    </row>
    <row r="166" spans="1:18">
      <c r="A166" s="1880"/>
      <c r="B166" s="1881"/>
      <c r="C166" s="254">
        <v>2015</v>
      </c>
      <c r="D166" s="255"/>
      <c r="E166" s="255"/>
      <c r="F166" s="255"/>
      <c r="G166" s="255"/>
      <c r="H166" s="255"/>
      <c r="I166" s="256"/>
      <c r="J166" s="407">
        <f t="shared" ref="J166:K171" si="17">SUM(D166,F166,H166)</f>
        <v>0</v>
      </c>
      <c r="K166" s="408">
        <f t="shared" si="17"/>
        <v>0</v>
      </c>
      <c r="L166" s="1531"/>
    </row>
    <row r="167" spans="1:18">
      <c r="A167" s="1880"/>
      <c r="B167" s="1881"/>
      <c r="C167" s="254">
        <v>2016</v>
      </c>
      <c r="D167" s="255"/>
      <c r="E167" s="255"/>
      <c r="F167" s="255"/>
      <c r="G167" s="255"/>
      <c r="H167" s="255"/>
      <c r="I167" s="256"/>
      <c r="J167" s="407">
        <f t="shared" si="17"/>
        <v>0</v>
      </c>
      <c r="K167" s="408">
        <f t="shared" si="17"/>
        <v>0</v>
      </c>
    </row>
    <row r="168" spans="1:18">
      <c r="A168" s="1880"/>
      <c r="B168" s="1881"/>
      <c r="C168" s="254">
        <v>2017</v>
      </c>
      <c r="D168" s="255"/>
      <c r="E168" s="165"/>
      <c r="F168" s="255"/>
      <c r="G168" s="255"/>
      <c r="H168" s="255"/>
      <c r="I168" s="256"/>
      <c r="J168" s="407">
        <f t="shared" si="17"/>
        <v>0</v>
      </c>
      <c r="K168" s="408">
        <f t="shared" si="17"/>
        <v>0</v>
      </c>
    </row>
    <row r="169" spans="1:18">
      <c r="A169" s="1880"/>
      <c r="B169" s="1881"/>
      <c r="C169" s="262">
        <v>2018</v>
      </c>
      <c r="D169" s="255"/>
      <c r="E169" s="255"/>
      <c r="F169" s="255"/>
      <c r="G169" s="263"/>
      <c r="H169" s="255"/>
      <c r="I169" s="256"/>
      <c r="J169" s="407">
        <f t="shared" si="17"/>
        <v>0</v>
      </c>
      <c r="K169" s="408">
        <f t="shared" si="17"/>
        <v>0</v>
      </c>
      <c r="L169" s="1531"/>
    </row>
    <row r="170" spans="1:18">
      <c r="A170" s="1880"/>
      <c r="B170" s="1881"/>
      <c r="C170" s="254">
        <v>2019</v>
      </c>
      <c r="D170" s="165"/>
      <c r="E170" s="255"/>
      <c r="F170" s="255"/>
      <c r="G170" s="255"/>
      <c r="H170" s="263"/>
      <c r="I170" s="256"/>
      <c r="J170" s="407">
        <f t="shared" si="17"/>
        <v>0</v>
      </c>
      <c r="K170" s="408">
        <f t="shared" si="17"/>
        <v>0</v>
      </c>
      <c r="L170" s="1531"/>
    </row>
    <row r="171" spans="1:18">
      <c r="A171" s="1880"/>
      <c r="B171" s="1881"/>
      <c r="C171" s="262">
        <v>2020</v>
      </c>
      <c r="D171" s="255"/>
      <c r="E171" s="255"/>
      <c r="F171" s="255"/>
      <c r="G171" s="255"/>
      <c r="H171" s="255"/>
      <c r="I171" s="256"/>
      <c r="J171" s="407">
        <f t="shared" si="17"/>
        <v>0</v>
      </c>
      <c r="K171" s="408">
        <f t="shared" si="17"/>
        <v>0</v>
      </c>
      <c r="L171" s="1531"/>
    </row>
    <row r="172" spans="1:18" ht="41.25" customHeight="1" thickBot="1">
      <c r="A172" s="1882"/>
      <c r="B172" s="1883"/>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1531"/>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389" t="s">
        <v>127</v>
      </c>
      <c r="B176" s="2380" t="s">
        <v>182</v>
      </c>
      <c r="C176" s="2391" t="s">
        <v>9</v>
      </c>
      <c r="D176" s="273" t="s">
        <v>128</v>
      </c>
      <c r="E176" s="1572"/>
      <c r="F176" s="1572"/>
      <c r="G176" s="1573"/>
      <c r="H176" s="276"/>
      <c r="I176" s="1888" t="s">
        <v>129</v>
      </c>
      <c r="J176" s="2393"/>
      <c r="K176" s="2393"/>
      <c r="L176" s="2393"/>
      <c r="M176" s="2393"/>
      <c r="N176" s="2393"/>
      <c r="O176" s="2394"/>
    </row>
    <row r="177" spans="1:15" s="56" customFormat="1" ht="129.7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1930"/>
      <c r="B178" s="2573"/>
      <c r="C178" s="106">
        <v>2014</v>
      </c>
      <c r="D178" s="30"/>
      <c r="E178" s="31"/>
      <c r="F178" s="31"/>
      <c r="G178" s="284">
        <f>SUM(D178:F178)</f>
        <v>0</v>
      </c>
      <c r="H178" s="155"/>
      <c r="I178" s="155"/>
      <c r="J178" s="31"/>
      <c r="K178" s="31"/>
      <c r="L178" s="31"/>
      <c r="M178" s="31"/>
      <c r="N178" s="31"/>
      <c r="O178" s="34"/>
    </row>
    <row r="179" spans="1:15">
      <c r="A179" s="1930"/>
      <c r="B179" s="2574"/>
      <c r="C179" s="110">
        <v>2015</v>
      </c>
      <c r="D179" s="37"/>
      <c r="E179" s="38"/>
      <c r="F179" s="38"/>
      <c r="G179" s="284">
        <f t="shared" ref="G179:G184" si="19">SUM(D179:F179)</f>
        <v>0</v>
      </c>
      <c r="H179" s="411"/>
      <c r="I179" s="112"/>
      <c r="J179" s="38"/>
      <c r="K179" s="38"/>
      <c r="L179" s="38"/>
      <c r="M179" s="38"/>
      <c r="N179" s="38"/>
      <c r="O179" s="88"/>
    </row>
    <row r="180" spans="1:15">
      <c r="A180" s="1930"/>
      <c r="B180" s="2574"/>
      <c r="C180" s="110">
        <v>2016</v>
      </c>
      <c r="D180" s="1506"/>
      <c r="E180" s="345"/>
      <c r="F180" s="38"/>
      <c r="G180" s="284">
        <f t="shared" si="19"/>
        <v>0</v>
      </c>
      <c r="H180" s="411"/>
      <c r="I180" s="112"/>
      <c r="J180" s="38"/>
      <c r="K180" s="38"/>
      <c r="L180" s="38"/>
      <c r="M180" s="38"/>
      <c r="N180" s="38"/>
      <c r="O180" s="88"/>
    </row>
    <row r="181" spans="1:15">
      <c r="A181" s="1930"/>
      <c r="B181" s="2574"/>
      <c r="C181" s="110">
        <v>2017</v>
      </c>
      <c r="D181" s="37"/>
      <c r="E181" s="38"/>
      <c r="F181" s="38"/>
      <c r="G181" s="284">
        <f t="shared" si="19"/>
        <v>0</v>
      </c>
      <c r="H181" s="411"/>
      <c r="I181" s="112"/>
      <c r="J181" s="38"/>
      <c r="K181" s="38"/>
      <c r="L181" s="38"/>
      <c r="M181" s="38"/>
      <c r="N181" s="38"/>
      <c r="O181" s="88"/>
    </row>
    <row r="182" spans="1:15">
      <c r="A182" s="1930"/>
      <c r="B182" s="2574"/>
      <c r="C182" s="110">
        <v>2018</v>
      </c>
      <c r="D182" s="37"/>
      <c r="E182" s="38"/>
      <c r="F182" s="38"/>
      <c r="G182" s="284">
        <f t="shared" si="19"/>
        <v>0</v>
      </c>
      <c r="H182" s="411"/>
      <c r="I182" s="112"/>
      <c r="J182" s="38"/>
      <c r="K182" s="38"/>
      <c r="L182" s="38"/>
      <c r="M182" s="38"/>
      <c r="N182" s="38"/>
      <c r="O182" s="88"/>
    </row>
    <row r="183" spans="1:15">
      <c r="A183" s="1930"/>
      <c r="B183" s="2574"/>
      <c r="C183" s="110">
        <v>2019</v>
      </c>
      <c r="D183" s="37"/>
      <c r="E183" s="38"/>
      <c r="F183" s="38"/>
      <c r="G183" s="284">
        <f t="shared" si="19"/>
        <v>0</v>
      </c>
      <c r="H183" s="411"/>
      <c r="I183" s="112"/>
      <c r="J183" s="38"/>
      <c r="K183" s="38"/>
      <c r="L183" s="38"/>
      <c r="M183" s="38"/>
      <c r="N183" s="38"/>
      <c r="O183" s="88"/>
    </row>
    <row r="184" spans="1:15">
      <c r="A184" s="1930"/>
      <c r="B184" s="2574"/>
      <c r="C184" s="110">
        <v>2020</v>
      </c>
      <c r="D184" s="37"/>
      <c r="E184" s="38"/>
      <c r="F184" s="38"/>
      <c r="G184" s="284">
        <f t="shared" si="19"/>
        <v>0</v>
      </c>
      <c r="H184" s="411"/>
      <c r="I184" s="112"/>
      <c r="J184" s="38"/>
      <c r="K184" s="38"/>
      <c r="L184" s="38"/>
      <c r="M184" s="38"/>
      <c r="N184" s="38"/>
      <c r="O184" s="88"/>
    </row>
    <row r="185" spans="1:15" ht="15.75" customHeight="1" thickBot="1">
      <c r="A185" s="2572"/>
      <c r="B185" s="2575"/>
      <c r="C185" s="113" t="s">
        <v>13</v>
      </c>
      <c r="D185" s="139">
        <f>SUM(D178:D184)</f>
        <v>0</v>
      </c>
      <c r="E185" s="116">
        <f>SUM(E178:E184)</f>
        <v>0</v>
      </c>
      <c r="F185" s="116">
        <f>SUM(F178:F184)</f>
        <v>0</v>
      </c>
      <c r="G185" s="220">
        <f t="shared" ref="G185:O185" si="20">SUM(G178:G184)</f>
        <v>0</v>
      </c>
      <c r="H185" s="285">
        <f t="shared" si="20"/>
        <v>0</v>
      </c>
      <c r="I185" s="115">
        <f t="shared" si="20"/>
        <v>0</v>
      </c>
      <c r="J185" s="116">
        <f t="shared" si="20"/>
        <v>0</v>
      </c>
      <c r="K185" s="116">
        <f t="shared" si="20"/>
        <v>0</v>
      </c>
      <c r="L185" s="116">
        <f t="shared" si="20"/>
        <v>0</v>
      </c>
      <c r="M185" s="116">
        <f t="shared" si="20"/>
        <v>0</v>
      </c>
      <c r="N185" s="116">
        <f t="shared" si="20"/>
        <v>0</v>
      </c>
      <c r="O185" s="117">
        <f t="shared" si="20"/>
        <v>0</v>
      </c>
    </row>
    <row r="186" spans="1:15" ht="33" customHeight="1" thickBot="1"/>
    <row r="187" spans="1:15" ht="19.5" customHeight="1">
      <c r="A187" s="1861" t="s">
        <v>137</v>
      </c>
      <c r="B187" s="2380" t="s">
        <v>182</v>
      </c>
      <c r="C187" s="1865" t="s">
        <v>9</v>
      </c>
      <c r="D187" s="1867" t="s">
        <v>138</v>
      </c>
      <c r="E187" s="2381"/>
      <c r="F187" s="2381"/>
      <c r="G187" s="1869"/>
      <c r="H187" s="1870"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1976"/>
      <c r="B189" s="1977"/>
      <c r="C189" s="290">
        <v>2014</v>
      </c>
      <c r="D189" s="133"/>
      <c r="E189" s="109"/>
      <c r="F189" s="109"/>
      <c r="G189" s="291">
        <f>SUM(D189:F189)</f>
        <v>0</v>
      </c>
      <c r="H189" s="108"/>
      <c r="I189" s="109"/>
      <c r="J189" s="109"/>
      <c r="K189" s="109"/>
      <c r="L189" s="134"/>
    </row>
    <row r="190" spans="1:15">
      <c r="A190" s="1978"/>
      <c r="B190" s="1855"/>
      <c r="C190" s="73">
        <v>2015</v>
      </c>
      <c r="D190" s="37"/>
      <c r="E190" s="38"/>
      <c r="F190" s="38"/>
      <c r="G190" s="291">
        <f t="shared" ref="G190:G195" si="21">SUM(D190:F190)</f>
        <v>0</v>
      </c>
      <c r="H190" s="112"/>
      <c r="I190" s="38"/>
      <c r="J190" s="38"/>
      <c r="K190" s="38"/>
      <c r="L190" s="88"/>
    </row>
    <row r="191" spans="1:15">
      <c r="A191" s="1978"/>
      <c r="B191" s="1855"/>
      <c r="C191" s="73">
        <v>2016</v>
      </c>
      <c r="D191" s="37"/>
      <c r="E191" s="38"/>
      <c r="F191" s="38"/>
      <c r="G191" s="291">
        <f t="shared" si="21"/>
        <v>0</v>
      </c>
      <c r="H191" s="112"/>
      <c r="I191" s="38"/>
      <c r="J191" s="38"/>
      <c r="K191" s="38"/>
      <c r="L191" s="88"/>
    </row>
    <row r="192" spans="1:15">
      <c r="A192" s="1978"/>
      <c r="B192" s="1855"/>
      <c r="C192" s="73">
        <v>2017</v>
      </c>
      <c r="D192" s="37"/>
      <c r="E192" s="38"/>
      <c r="F192" s="38"/>
      <c r="G192" s="291">
        <f t="shared" si="21"/>
        <v>0</v>
      </c>
      <c r="H192" s="112"/>
      <c r="I192" s="38"/>
      <c r="J192" s="38"/>
      <c r="K192" s="38"/>
      <c r="L192" s="88"/>
    </row>
    <row r="193" spans="1:14">
      <c r="A193" s="1978"/>
      <c r="B193" s="1855"/>
      <c r="C193" s="73">
        <v>2018</v>
      </c>
      <c r="D193" s="37"/>
      <c r="E193" s="38"/>
      <c r="F193" s="38"/>
      <c r="G193" s="291">
        <f t="shared" si="21"/>
        <v>0</v>
      </c>
      <c r="H193" s="112"/>
      <c r="I193" s="38"/>
      <c r="J193" s="38"/>
      <c r="K193" s="38"/>
      <c r="L193" s="88"/>
    </row>
    <row r="194" spans="1:14">
      <c r="A194" s="1978"/>
      <c r="B194" s="1855"/>
      <c r="C194" s="73">
        <v>2019</v>
      </c>
      <c r="D194" s="37"/>
      <c r="E194" s="38"/>
      <c r="F194" s="38"/>
      <c r="G194" s="291">
        <f t="shared" si="21"/>
        <v>0</v>
      </c>
      <c r="H194" s="112"/>
      <c r="I194" s="38"/>
      <c r="J194" s="38"/>
      <c r="K194" s="38"/>
      <c r="L194" s="88"/>
    </row>
    <row r="195" spans="1:14">
      <c r="A195" s="1978"/>
      <c r="B195" s="1855"/>
      <c r="C195" s="73">
        <v>2020</v>
      </c>
      <c r="D195" s="37"/>
      <c r="E195" s="38"/>
      <c r="F195" s="38"/>
      <c r="G195" s="291">
        <f t="shared" si="21"/>
        <v>0</v>
      </c>
      <c r="H195" s="112"/>
      <c r="I195" s="38"/>
      <c r="J195" s="38"/>
      <c r="K195" s="38"/>
      <c r="L195" s="88"/>
    </row>
    <row r="196" spans="1:14" ht="15.75" thickBot="1">
      <c r="A196" s="1979"/>
      <c r="B196" s="1857"/>
      <c r="C196" s="136" t="s">
        <v>13</v>
      </c>
      <c r="D196" s="139">
        <f t="shared" ref="D196:L196" si="22">SUM(D189:D195)</f>
        <v>0</v>
      </c>
      <c r="E196" s="116">
        <f t="shared" si="22"/>
        <v>0</v>
      </c>
      <c r="F196" s="116">
        <f t="shared" si="22"/>
        <v>0</v>
      </c>
      <c r="G196" s="292">
        <f t="shared" si="22"/>
        <v>0</v>
      </c>
      <c r="H196" s="115">
        <f t="shared" si="22"/>
        <v>0</v>
      </c>
      <c r="I196" s="116">
        <f t="shared" si="22"/>
        <v>0</v>
      </c>
      <c r="J196" s="116">
        <f t="shared" si="22"/>
        <v>0</v>
      </c>
      <c r="K196" s="116">
        <f t="shared" si="22"/>
        <v>0</v>
      </c>
      <c r="L196" s="117">
        <f t="shared" si="22"/>
        <v>0</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1574" t="s">
        <v>150</v>
      </c>
      <c r="B201" s="417" t="s">
        <v>182</v>
      </c>
      <c r="C201" s="298" t="s">
        <v>9</v>
      </c>
      <c r="D201" s="299" t="s">
        <v>151</v>
      </c>
      <c r="E201" s="300" t="s">
        <v>152</v>
      </c>
      <c r="F201" s="300" t="s">
        <v>153</v>
      </c>
      <c r="G201" s="298" t="s">
        <v>154</v>
      </c>
      <c r="H201" s="1575" t="s">
        <v>155</v>
      </c>
      <c r="I201" s="302" t="s">
        <v>156</v>
      </c>
      <c r="J201" s="303" t="s">
        <v>157</v>
      </c>
      <c r="K201" s="300" t="s">
        <v>158</v>
      </c>
      <c r="L201" s="304" t="s">
        <v>159</v>
      </c>
    </row>
    <row r="202" spans="1:14" ht="15" customHeight="1">
      <c r="A202" s="1854"/>
      <c r="B202" s="1855"/>
      <c r="C202" s="72">
        <v>2014</v>
      </c>
      <c r="D202" s="30"/>
      <c r="E202" s="31"/>
      <c r="F202" s="31"/>
      <c r="G202" s="29"/>
      <c r="H202" s="305"/>
      <c r="I202" s="306"/>
      <c r="J202" s="307"/>
      <c r="K202" s="31"/>
      <c r="L202" s="34"/>
    </row>
    <row r="203" spans="1:14">
      <c r="A203" s="1854"/>
      <c r="B203" s="1855"/>
      <c r="C203" s="73">
        <v>2015</v>
      </c>
      <c r="D203" s="37"/>
      <c r="E203" s="38"/>
      <c r="F203" s="38"/>
      <c r="G203" s="36"/>
      <c r="H203" s="308"/>
      <c r="I203" s="309"/>
      <c r="J203" s="310"/>
      <c r="K203" s="38"/>
      <c r="L203" s="88"/>
    </row>
    <row r="204" spans="1:14">
      <c r="A204" s="1854"/>
      <c r="B204" s="1855"/>
      <c r="C204" s="73">
        <v>2016</v>
      </c>
      <c r="D204" s="37"/>
      <c r="E204" s="38"/>
      <c r="F204" s="38"/>
      <c r="G204" s="36"/>
      <c r="H204" s="308"/>
      <c r="I204" s="309"/>
      <c r="J204" s="310"/>
      <c r="K204" s="38"/>
      <c r="L204" s="88"/>
    </row>
    <row r="205" spans="1:14">
      <c r="A205" s="1854"/>
      <c r="B205" s="1855"/>
      <c r="C205" s="73">
        <v>2017</v>
      </c>
      <c r="D205" s="37"/>
      <c r="E205" s="38"/>
      <c r="F205" s="38"/>
      <c r="G205" s="36"/>
      <c r="H205" s="308"/>
      <c r="I205" s="309"/>
      <c r="J205" s="310"/>
      <c r="K205" s="38"/>
      <c r="L205" s="88"/>
    </row>
    <row r="206" spans="1:14">
      <c r="A206" s="1854"/>
      <c r="B206" s="1855"/>
      <c r="C206" s="73">
        <v>2018</v>
      </c>
      <c r="D206" s="37"/>
      <c r="E206" s="38"/>
      <c r="F206" s="38"/>
      <c r="G206" s="36"/>
      <c r="H206" s="308"/>
      <c r="I206" s="309"/>
      <c r="J206" s="310"/>
      <c r="K206" s="38"/>
      <c r="L206" s="88"/>
    </row>
    <row r="207" spans="1:14">
      <c r="A207" s="1854"/>
      <c r="B207" s="1855"/>
      <c r="C207" s="73">
        <v>2019</v>
      </c>
      <c r="D207" s="37"/>
      <c r="E207" s="38"/>
      <c r="F207" s="38"/>
      <c r="G207" s="36"/>
      <c r="H207" s="308"/>
      <c r="I207" s="309"/>
      <c r="J207" s="310"/>
      <c r="K207" s="38"/>
      <c r="L207" s="88"/>
    </row>
    <row r="208" spans="1:14">
      <c r="A208" s="1854"/>
      <c r="B208" s="1855"/>
      <c r="C208" s="73">
        <v>2020</v>
      </c>
      <c r="D208" s="1533"/>
      <c r="E208" s="312"/>
      <c r="F208" s="312"/>
      <c r="G208" s="313"/>
      <c r="H208" s="314"/>
      <c r="I208" s="315"/>
      <c r="J208" s="316"/>
      <c r="K208" s="312"/>
      <c r="L208" s="317"/>
    </row>
    <row r="209" spans="1:12" ht="20.25" customHeight="1" thickBot="1">
      <c r="A209" s="1856"/>
      <c r="B209" s="1857"/>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0</v>
      </c>
      <c r="K209" s="139">
        <f t="shared" si="23"/>
        <v>0</v>
      </c>
      <c r="L209" s="139">
        <f t="shared" si="23"/>
        <v>0</v>
      </c>
    </row>
    <row r="211" spans="1:12" ht="15.75" thickBot="1"/>
    <row r="212" spans="1:12" ht="29.25">
      <c r="A212" s="1576" t="s">
        <v>161</v>
      </c>
      <c r="B212" s="322" t="s">
        <v>162</v>
      </c>
      <c r="C212" s="323">
        <v>2014</v>
      </c>
      <c r="D212" s="324">
        <v>2015</v>
      </c>
      <c r="E212" s="324">
        <v>2016</v>
      </c>
      <c r="F212" s="324">
        <v>2017</v>
      </c>
      <c r="G212" s="324">
        <v>2018</v>
      </c>
      <c r="H212" s="324">
        <v>2019</v>
      </c>
      <c r="I212" s="325">
        <v>2020</v>
      </c>
    </row>
    <row r="213" spans="1:12" ht="15" customHeight="1">
      <c r="A213" t="s">
        <v>163</v>
      </c>
      <c r="B213" s="1652"/>
      <c r="C213" s="72"/>
      <c r="D213" s="1653">
        <f>D214</f>
        <v>9191.85</v>
      </c>
      <c r="E213" s="447">
        <f>E214</f>
        <v>117783.11</v>
      </c>
      <c r="F213" s="447">
        <f>F214</f>
        <v>158681.43</v>
      </c>
      <c r="G213" s="1505"/>
      <c r="H213" s="1505"/>
      <c r="I213" s="1654"/>
    </row>
    <row r="214" spans="1:12">
      <c r="A214" t="s">
        <v>164</v>
      </c>
      <c r="B214" s="1652"/>
      <c r="C214" s="72"/>
      <c r="D214" s="1655">
        <v>9191.85</v>
      </c>
      <c r="E214" s="447">
        <v>117783.11</v>
      </c>
      <c r="F214" s="447">
        <v>158681.43</v>
      </c>
      <c r="G214" s="1505"/>
      <c r="H214" s="1505"/>
      <c r="I214" s="1654"/>
    </row>
    <row r="215" spans="1:12">
      <c r="A215" t="s">
        <v>165</v>
      </c>
      <c r="B215" s="1652"/>
      <c r="C215" s="72"/>
      <c r="D215" s="1656"/>
      <c r="E215" s="447"/>
      <c r="F215" s="447"/>
      <c r="G215" s="1505"/>
      <c r="H215" s="1505"/>
      <c r="I215" s="1654"/>
    </row>
    <row r="216" spans="1:12">
      <c r="A216" t="s">
        <v>166</v>
      </c>
      <c r="B216" s="1652"/>
      <c r="C216" s="72"/>
      <c r="D216" s="1656"/>
      <c r="E216" s="447"/>
      <c r="F216" s="447"/>
      <c r="G216" s="1505"/>
      <c r="H216" s="1505"/>
      <c r="I216" s="1654"/>
    </row>
    <row r="217" spans="1:12">
      <c r="A217" t="s">
        <v>167</v>
      </c>
      <c r="B217" s="1652"/>
      <c r="C217" s="72"/>
      <c r="D217" s="1656"/>
      <c r="E217" s="447"/>
      <c r="F217" s="447"/>
      <c r="G217" s="1505"/>
      <c r="H217" s="1505"/>
      <c r="I217" s="1654"/>
    </row>
    <row r="218" spans="1:12" ht="159.75" customHeight="1">
      <c r="A218" s="2570" t="s">
        <v>458</v>
      </c>
      <c r="B218" s="2571"/>
      <c r="C218" s="72"/>
      <c r="D218" s="1655">
        <v>100000</v>
      </c>
      <c r="E218" s="447">
        <v>83426.12</v>
      </c>
      <c r="F218" s="447">
        <v>72385.87</v>
      </c>
      <c r="H218" s="1505"/>
      <c r="I218" s="1654"/>
    </row>
    <row r="219" spans="1:12" ht="15.75" thickBot="1">
      <c r="A219" s="1532"/>
      <c r="B219" s="1657"/>
      <c r="C219" s="42" t="s">
        <v>13</v>
      </c>
      <c r="D219" s="1658">
        <f>SUM(D214:D218)</f>
        <v>109191.85</v>
      </c>
      <c r="E219" s="450">
        <f t="shared" ref="E219:I219" si="24">SUM(E214:E218)</f>
        <v>201209.22999999998</v>
      </c>
      <c r="F219" s="450">
        <f>SUM(F214:F218)</f>
        <v>231067.3</v>
      </c>
      <c r="G219" s="333">
        <f>SUM(G214:G218)</f>
        <v>0</v>
      </c>
      <c r="H219" s="333">
        <f t="shared" si="24"/>
        <v>0</v>
      </c>
      <c r="I219" s="333">
        <f t="shared" si="24"/>
        <v>0</v>
      </c>
    </row>
    <row r="227" spans="1:1">
      <c r="A227" s="56"/>
    </row>
    <row r="231" spans="1:1" ht="13.5" customHeight="1"/>
  </sheetData>
  <mergeCells count="58">
    <mergeCell ref="D60:D61"/>
    <mergeCell ref="B1:F1"/>
    <mergeCell ref="F3:O3"/>
    <mergeCell ref="A4:O10"/>
    <mergeCell ref="D15:G15"/>
    <mergeCell ref="A17:B24"/>
    <mergeCell ref="D26:G26"/>
    <mergeCell ref="A28:B35"/>
    <mergeCell ref="A40:B47"/>
    <mergeCell ref="A50:B58"/>
    <mergeCell ref="A60:A61"/>
    <mergeCell ref="C60:C61"/>
    <mergeCell ref="A62:B69"/>
    <mergeCell ref="A72:A79"/>
    <mergeCell ref="B72:B79"/>
    <mergeCell ref="A85:B92"/>
    <mergeCell ref="A96:A97"/>
    <mergeCell ref="B96:B97"/>
    <mergeCell ref="A120:B127"/>
    <mergeCell ref="C96:C97"/>
    <mergeCell ref="D96:E96"/>
    <mergeCell ref="A98:B105"/>
    <mergeCell ref="A107:A108"/>
    <mergeCell ref="B107:B108"/>
    <mergeCell ref="C107:C108"/>
    <mergeCell ref="D107:D108"/>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A185"/>
    <mergeCell ref="B178:B185"/>
    <mergeCell ref="A202:B209"/>
    <mergeCell ref="A218:B218"/>
    <mergeCell ref="A187:A188"/>
    <mergeCell ref="B187:B188"/>
    <mergeCell ref="C187:C18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7"/>
  <sheetViews>
    <sheetView topLeftCell="A16" workbookViewId="0">
      <selection activeCell="D219" sqref="D219:F219"/>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459</v>
      </c>
      <c r="C1" s="1944"/>
      <c r="D1" s="1944"/>
      <c r="E1" s="1944"/>
      <c r="F1" s="1944"/>
    </row>
    <row r="2" spans="1:25" s="1" customFormat="1" ht="20.100000000000001" customHeight="1" thickBot="1"/>
    <row r="3" spans="1:25" s="4" customFormat="1" ht="20.100000000000001" customHeight="1">
      <c r="A3" s="1584" t="s">
        <v>2</v>
      </c>
      <c r="B3" s="1585"/>
      <c r="C3" s="1585"/>
      <c r="D3" s="1585"/>
      <c r="E3" s="1585"/>
      <c r="F3" s="2418"/>
      <c r="G3" s="2418"/>
      <c r="H3" s="2418"/>
      <c r="I3" s="2418"/>
      <c r="J3" s="2418"/>
      <c r="K3" s="2418"/>
      <c r="L3" s="2418"/>
      <c r="M3" s="2418"/>
      <c r="N3" s="2418"/>
      <c r="O3" s="2419"/>
    </row>
    <row r="4" spans="1:25" s="4" customFormat="1" ht="20.100000000000001" customHeight="1">
      <c r="A4" s="2420" t="s">
        <v>170</v>
      </c>
      <c r="B4" s="1948"/>
      <c r="C4" s="1948"/>
      <c r="D4" s="1948"/>
      <c r="E4" s="1948"/>
      <c r="F4" s="1948"/>
      <c r="G4" s="1948"/>
      <c r="H4" s="1948"/>
      <c r="I4" s="1948"/>
      <c r="J4" s="1948"/>
      <c r="K4" s="1948"/>
      <c r="L4" s="1948"/>
      <c r="M4" s="1948"/>
      <c r="N4" s="1948"/>
      <c r="O4" s="1949"/>
    </row>
    <row r="5" spans="1:25" s="4" customFormat="1" ht="20.100000000000001" customHeight="1">
      <c r="A5" s="2420"/>
      <c r="B5" s="1948"/>
      <c r="C5" s="1948"/>
      <c r="D5" s="1948"/>
      <c r="E5" s="1948"/>
      <c r="F5" s="1948"/>
      <c r="G5" s="1948"/>
      <c r="H5" s="1948"/>
      <c r="I5" s="1948"/>
      <c r="J5" s="1948"/>
      <c r="K5" s="1948"/>
      <c r="L5" s="1948"/>
      <c r="M5" s="1948"/>
      <c r="N5" s="1948"/>
      <c r="O5" s="1949"/>
    </row>
    <row r="6" spans="1:25" s="4" customFormat="1" ht="20.100000000000001" customHeight="1">
      <c r="A6" s="2420"/>
      <c r="B6" s="1948"/>
      <c r="C6" s="1948"/>
      <c r="D6" s="1948"/>
      <c r="E6" s="1948"/>
      <c r="F6" s="1948"/>
      <c r="G6" s="1948"/>
      <c r="H6" s="1948"/>
      <c r="I6" s="1948"/>
      <c r="J6" s="1948"/>
      <c r="K6" s="1948"/>
      <c r="L6" s="1948"/>
      <c r="M6" s="1948"/>
      <c r="N6" s="1948"/>
      <c r="O6" s="1949"/>
    </row>
    <row r="7" spans="1:25" s="4" customFormat="1" ht="20.100000000000001" customHeight="1">
      <c r="A7" s="2420"/>
      <c r="B7" s="1948"/>
      <c r="C7" s="1948"/>
      <c r="D7" s="1948"/>
      <c r="E7" s="1948"/>
      <c r="F7" s="1948"/>
      <c r="G7" s="1948"/>
      <c r="H7" s="1948"/>
      <c r="I7" s="1948"/>
      <c r="J7" s="1948"/>
      <c r="K7" s="1948"/>
      <c r="L7" s="1948"/>
      <c r="M7" s="1948"/>
      <c r="N7" s="1948"/>
      <c r="O7" s="1949"/>
    </row>
    <row r="8" spans="1:25" s="4" customFormat="1" ht="20.100000000000001" customHeight="1">
      <c r="A8" s="2420"/>
      <c r="B8" s="1948"/>
      <c r="C8" s="1948"/>
      <c r="D8" s="1948"/>
      <c r="E8" s="1948"/>
      <c r="F8" s="1948"/>
      <c r="G8" s="1948"/>
      <c r="H8" s="1948"/>
      <c r="I8" s="1948"/>
      <c r="J8" s="1948"/>
      <c r="K8" s="1948"/>
      <c r="L8" s="1948"/>
      <c r="M8" s="1948"/>
      <c r="N8" s="1948"/>
      <c r="O8" s="1949"/>
    </row>
    <row r="9" spans="1:25" s="4" customFormat="1" ht="20.100000000000001" customHeight="1">
      <c r="A9" s="2420"/>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1659"/>
      <c r="B15" s="1660"/>
      <c r="C15" s="10"/>
      <c r="D15" s="1953" t="s">
        <v>5</v>
      </c>
      <c r="E15" s="2611"/>
      <c r="F15" s="2611"/>
      <c r="G15" s="2611"/>
      <c r="H15" s="11"/>
      <c r="I15" s="12" t="s">
        <v>6</v>
      </c>
      <c r="J15" s="13"/>
      <c r="K15" s="13"/>
      <c r="L15" s="13"/>
      <c r="M15" s="13"/>
      <c r="N15" s="13"/>
      <c r="O15" s="14"/>
      <c r="P15" s="15"/>
      <c r="Q15" s="16"/>
      <c r="R15" s="17"/>
      <c r="S15" s="17"/>
      <c r="T15" s="17"/>
      <c r="U15" s="17"/>
      <c r="V15" s="17"/>
      <c r="W15" s="15"/>
      <c r="X15" s="15"/>
      <c r="Y15" s="16"/>
    </row>
    <row r="16" spans="1:25" s="56" customFormat="1" ht="129" customHeight="1">
      <c r="A16" s="1661"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2588" t="s">
        <v>460</v>
      </c>
      <c r="B17" s="2513"/>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2610"/>
      <c r="B18" s="2513"/>
      <c r="C18" s="36">
        <v>2015</v>
      </c>
      <c r="D18" s="37"/>
      <c r="E18" s="38"/>
      <c r="F18" s="38"/>
      <c r="G18" s="32">
        <f>SUM(D18:F18)</f>
        <v>0</v>
      </c>
      <c r="H18" s="39"/>
      <c r="I18" s="38"/>
      <c r="J18" s="38"/>
      <c r="K18" s="38"/>
      <c r="L18" s="38"/>
      <c r="M18" s="38"/>
      <c r="N18" s="38"/>
      <c r="O18" s="40"/>
      <c r="P18" s="35"/>
      <c r="Q18" s="35"/>
      <c r="R18" s="35"/>
      <c r="S18" s="35"/>
      <c r="T18" s="35"/>
      <c r="U18" s="35"/>
      <c r="V18" s="35"/>
      <c r="W18" s="35"/>
      <c r="X18" s="35"/>
      <c r="Y18" s="35"/>
    </row>
    <row r="19" spans="1:25">
      <c r="A19" s="2610"/>
      <c r="B19" s="2513"/>
      <c r="C19" s="36">
        <v>2016</v>
      </c>
      <c r="D19" s="37">
        <v>5</v>
      </c>
      <c r="E19" s="38">
        <v>1</v>
      </c>
      <c r="F19" s="38"/>
      <c r="G19" s="32">
        <f t="shared" si="0"/>
        <v>6</v>
      </c>
      <c r="H19" s="39">
        <v>6</v>
      </c>
      <c r="I19" s="38"/>
      <c r="J19" s="38"/>
      <c r="K19" s="38"/>
      <c r="L19" s="38"/>
      <c r="M19" s="38"/>
      <c r="N19" s="38"/>
      <c r="O19" s="40"/>
      <c r="P19" s="35"/>
      <c r="Q19" s="35"/>
      <c r="R19" s="35"/>
      <c r="S19" s="35"/>
      <c r="T19" s="35"/>
      <c r="U19" s="35"/>
      <c r="V19" s="35"/>
      <c r="W19" s="35"/>
      <c r="X19" s="35"/>
      <c r="Y19" s="35"/>
    </row>
    <row r="20" spans="1:25">
      <c r="A20" s="2610"/>
      <c r="B20" s="2513"/>
      <c r="C20" s="36">
        <v>2017</v>
      </c>
      <c r="D20" s="37">
        <v>6</v>
      </c>
      <c r="E20" s="38"/>
      <c r="F20" s="38">
        <v>1</v>
      </c>
      <c r="G20" s="32">
        <f t="shared" si="0"/>
        <v>7</v>
      </c>
      <c r="H20" s="39">
        <v>7</v>
      </c>
      <c r="I20" s="38"/>
      <c r="J20" s="38"/>
      <c r="K20" s="38"/>
      <c r="L20" s="38"/>
      <c r="M20" s="38"/>
      <c r="N20" s="38"/>
      <c r="O20" s="40"/>
      <c r="P20" s="35"/>
      <c r="Q20" s="35"/>
      <c r="R20" s="35"/>
      <c r="S20" s="35"/>
      <c r="T20" s="35"/>
      <c r="U20" s="35"/>
      <c r="V20" s="35"/>
      <c r="W20" s="35"/>
      <c r="X20" s="35"/>
      <c r="Y20" s="35"/>
    </row>
    <row r="21" spans="1:25">
      <c r="A21" s="2610"/>
      <c r="B21" s="2513"/>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2610"/>
      <c r="B22" s="2513"/>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2610"/>
      <c r="B23" s="2513"/>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185.25" customHeight="1" thickBot="1">
      <c r="A24" s="2612"/>
      <c r="B24" s="2515"/>
      <c r="C24" s="42" t="s">
        <v>13</v>
      </c>
      <c r="D24" s="43">
        <f>SUM(D17:D23)</f>
        <v>11</v>
      </c>
      <c r="E24" s="44">
        <f>SUM(E17:E23)</f>
        <v>1</v>
      </c>
      <c r="F24" s="44">
        <f>SUM(F17:F23)</f>
        <v>1</v>
      </c>
      <c r="G24" s="45">
        <f>SUM(D24:F24)</f>
        <v>13</v>
      </c>
      <c r="H24" s="46">
        <f>SUM(H17:H23)</f>
        <v>13</v>
      </c>
      <c r="I24" s="47">
        <f>SUM(I17:I23)</f>
        <v>0</v>
      </c>
      <c r="J24" s="47">
        <f t="shared" ref="J24:N24" si="1">SUM(J17:J23)</f>
        <v>0</v>
      </c>
      <c r="K24" s="47">
        <f t="shared" si="1"/>
        <v>0</v>
      </c>
      <c r="L24" s="47">
        <f t="shared" si="1"/>
        <v>0</v>
      </c>
      <c r="M24" s="47">
        <f t="shared" si="1"/>
        <v>0</v>
      </c>
      <c r="N24" s="47">
        <f t="shared" si="1"/>
        <v>0</v>
      </c>
      <c r="O24" s="48">
        <f>SUM(O17:O23)</f>
        <v>0</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1659"/>
      <c r="B26" s="1660"/>
      <c r="C26" s="50"/>
      <c r="D26" s="1959" t="s">
        <v>5</v>
      </c>
      <c r="E26" s="2613"/>
      <c r="F26" s="2613"/>
      <c r="G26" s="2614"/>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2588" t="s">
        <v>461</v>
      </c>
      <c r="B28" s="2615"/>
      <c r="C28" s="57">
        <v>2014</v>
      </c>
      <c r="D28" s="33"/>
      <c r="E28" s="31"/>
      <c r="F28" s="31"/>
      <c r="G28" s="58">
        <f>SUM(D28:F28)</f>
        <v>0</v>
      </c>
      <c r="H28" s="35"/>
      <c r="I28" s="35"/>
      <c r="J28" s="35"/>
      <c r="K28" s="35"/>
      <c r="L28" s="35"/>
      <c r="M28" s="35"/>
      <c r="N28" s="35"/>
      <c r="O28" s="35"/>
      <c r="P28" s="35"/>
      <c r="Q28" s="7"/>
    </row>
    <row r="29" spans="1:25">
      <c r="A29" s="2065"/>
      <c r="B29" s="2615"/>
      <c r="C29" s="59">
        <v>2015</v>
      </c>
      <c r="D29" s="39"/>
      <c r="E29" s="38"/>
      <c r="F29" s="38"/>
      <c r="G29" s="58">
        <f t="shared" ref="G29:G35" si="2">SUM(D29:F29)</f>
        <v>0</v>
      </c>
      <c r="H29" s="35"/>
      <c r="I29" s="35"/>
      <c r="J29" s="35"/>
      <c r="K29" s="35"/>
      <c r="L29" s="35"/>
      <c r="M29" s="35"/>
      <c r="N29" s="35"/>
      <c r="O29" s="35"/>
      <c r="P29" s="35"/>
      <c r="Q29" s="7"/>
    </row>
    <row r="30" spans="1:25">
      <c r="A30" s="2065"/>
      <c r="B30" s="2615"/>
      <c r="C30" s="59">
        <v>2016</v>
      </c>
      <c r="D30" s="39">
        <v>57000</v>
      </c>
      <c r="E30" s="38">
        <v>15000</v>
      </c>
      <c r="F30" s="38"/>
      <c r="G30" s="58">
        <f t="shared" si="2"/>
        <v>72000</v>
      </c>
      <c r="H30" s="35"/>
      <c r="I30" s="35"/>
      <c r="J30" s="35"/>
      <c r="K30" s="35"/>
      <c r="L30" s="35"/>
      <c r="M30" s="35"/>
      <c r="N30" s="35"/>
      <c r="O30" s="35"/>
      <c r="P30" s="35"/>
      <c r="Q30" s="7"/>
    </row>
    <row r="31" spans="1:25">
      <c r="A31" s="2065"/>
      <c r="B31" s="2615"/>
      <c r="C31" s="59">
        <v>2017</v>
      </c>
      <c r="D31" s="39">
        <v>49500</v>
      </c>
      <c r="E31" s="38"/>
      <c r="F31" s="38">
        <v>31000</v>
      </c>
      <c r="G31" s="58">
        <f t="shared" si="2"/>
        <v>80500</v>
      </c>
      <c r="H31" s="35"/>
      <c r="I31" s="35"/>
      <c r="J31" s="35"/>
      <c r="K31" s="35"/>
      <c r="L31" s="35"/>
      <c r="M31" s="35"/>
      <c r="N31" s="35"/>
      <c r="O31" s="35"/>
      <c r="P31" s="35"/>
      <c r="Q31" s="7"/>
    </row>
    <row r="32" spans="1:25">
      <c r="A32" s="2065"/>
      <c r="B32" s="2615"/>
      <c r="C32" s="59">
        <v>2018</v>
      </c>
      <c r="D32" s="39"/>
      <c r="E32" s="38"/>
      <c r="F32" s="38"/>
      <c r="G32" s="58">
        <f>SUM(D32:F32)</f>
        <v>0</v>
      </c>
      <c r="H32" s="35"/>
      <c r="I32" s="35"/>
      <c r="J32" s="35"/>
      <c r="K32" s="35"/>
      <c r="L32" s="35"/>
      <c r="M32" s="35"/>
      <c r="N32" s="35"/>
      <c r="O32" s="35"/>
      <c r="P32" s="35"/>
      <c r="Q32" s="7"/>
    </row>
    <row r="33" spans="1:17">
      <c r="A33" s="2065"/>
      <c r="B33" s="2615"/>
      <c r="C33" s="60">
        <v>2019</v>
      </c>
      <c r="D33" s="39"/>
      <c r="E33" s="38"/>
      <c r="F33" s="38"/>
      <c r="G33" s="58">
        <f t="shared" si="2"/>
        <v>0</v>
      </c>
      <c r="H33" s="35"/>
      <c r="I33" s="35"/>
      <c r="J33" s="35"/>
      <c r="K33" s="35"/>
      <c r="L33" s="35"/>
      <c r="M33" s="35"/>
      <c r="N33" s="35"/>
      <c r="O33" s="35"/>
      <c r="P33" s="35"/>
      <c r="Q33" s="7"/>
    </row>
    <row r="34" spans="1:17">
      <c r="A34" s="2065"/>
      <c r="B34" s="2615"/>
      <c r="C34" s="59">
        <v>2020</v>
      </c>
      <c r="D34" s="39"/>
      <c r="E34" s="38"/>
      <c r="F34" s="38"/>
      <c r="G34" s="58">
        <f t="shared" si="2"/>
        <v>0</v>
      </c>
      <c r="H34" s="35"/>
      <c r="I34" s="35"/>
      <c r="J34" s="35"/>
      <c r="K34" s="35"/>
      <c r="L34" s="35"/>
      <c r="M34" s="35"/>
      <c r="N34" s="35"/>
      <c r="O34" s="35"/>
      <c r="P34" s="35"/>
      <c r="Q34" s="7"/>
    </row>
    <row r="35" spans="1:17" ht="197.25" customHeight="1" thickBot="1">
      <c r="A35" s="2065"/>
      <c r="B35" s="2615"/>
      <c r="C35" s="61" t="s">
        <v>13</v>
      </c>
      <c r="D35" s="46">
        <f>SUM(D28:D34)</f>
        <v>106500</v>
      </c>
      <c r="E35" s="44">
        <f>SUM(E28:E34)</f>
        <v>15000</v>
      </c>
      <c r="F35" s="44">
        <f>SUM(F28:F34)</f>
        <v>31000</v>
      </c>
      <c r="G35" s="48">
        <f t="shared" si="2"/>
        <v>152500</v>
      </c>
      <c r="H35" s="35"/>
      <c r="I35" s="35"/>
      <c r="J35" s="35"/>
      <c r="K35" s="35"/>
      <c r="L35" s="35"/>
      <c r="M35" s="35"/>
      <c r="N35" s="35"/>
      <c r="O35" s="35"/>
      <c r="P35" s="35"/>
      <c r="Q35" s="7"/>
    </row>
    <row r="36" spans="1:17">
      <c r="A36" s="1535"/>
      <c r="B36" s="1535"/>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1662" t="s">
        <v>26</v>
      </c>
      <c r="B39" s="1663" t="s">
        <v>171</v>
      </c>
      <c r="C39" s="68" t="s">
        <v>9</v>
      </c>
      <c r="D39" s="69" t="s">
        <v>28</v>
      </c>
      <c r="E39" s="70" t="s">
        <v>29</v>
      </c>
      <c r="F39" s="71"/>
      <c r="G39" s="28"/>
      <c r="H39" s="28"/>
    </row>
    <row r="40" spans="1:17">
      <c r="A40" s="1874" t="s">
        <v>462</v>
      </c>
      <c r="B40" s="1855"/>
      <c r="C40" s="72">
        <v>2014</v>
      </c>
      <c r="D40" s="30"/>
      <c r="E40" s="29"/>
      <c r="F40" s="7"/>
      <c r="G40" s="35"/>
      <c r="H40" s="35"/>
    </row>
    <row r="41" spans="1:17">
      <c r="A41" s="1854"/>
      <c r="B41" s="1855"/>
      <c r="C41" s="73">
        <v>2015</v>
      </c>
      <c r="D41" s="37">
        <v>185626</v>
      </c>
      <c r="E41" s="36">
        <v>104358</v>
      </c>
      <c r="F41" s="7"/>
      <c r="G41" s="35"/>
      <c r="H41" s="35"/>
    </row>
    <row r="42" spans="1:17">
      <c r="A42" s="1854"/>
      <c r="B42" s="1855"/>
      <c r="C42" s="73">
        <v>2016</v>
      </c>
      <c r="D42" s="37">
        <v>191435</v>
      </c>
      <c r="E42" s="36">
        <v>116115</v>
      </c>
      <c r="F42" s="7"/>
      <c r="G42" s="35"/>
      <c r="H42" s="35"/>
    </row>
    <row r="43" spans="1:17">
      <c r="A43" s="1854"/>
      <c r="B43" s="1855"/>
      <c r="C43" s="73">
        <v>2017</v>
      </c>
      <c r="D43" s="37">
        <v>177309</v>
      </c>
      <c r="E43" s="36">
        <v>111541</v>
      </c>
      <c r="F43" s="7"/>
      <c r="G43" s="35"/>
      <c r="H43" s="35"/>
    </row>
    <row r="44" spans="1:17">
      <c r="A44" s="1854"/>
      <c r="B44" s="1855"/>
      <c r="C44" s="73">
        <v>2018</v>
      </c>
      <c r="D44" s="37"/>
      <c r="E44" s="36"/>
      <c r="F44" s="7"/>
      <c r="G44" s="35"/>
      <c r="H44" s="35"/>
    </row>
    <row r="45" spans="1:17">
      <c r="A45" s="1854"/>
      <c r="B45" s="1855"/>
      <c r="C45" s="73">
        <v>2019</v>
      </c>
      <c r="D45" s="37"/>
      <c r="E45" s="36"/>
      <c r="F45" s="7"/>
      <c r="G45" s="35"/>
      <c r="H45" s="35"/>
    </row>
    <row r="46" spans="1:17">
      <c r="A46" s="1854"/>
      <c r="B46" s="1855"/>
      <c r="C46" s="73">
        <v>2020</v>
      </c>
      <c r="D46" s="37"/>
      <c r="E46" s="36"/>
      <c r="F46" s="7"/>
      <c r="G46" s="35"/>
      <c r="H46" s="35"/>
    </row>
    <row r="47" spans="1:17" ht="15.75" thickBot="1">
      <c r="A47" s="1856"/>
      <c r="B47" s="1857"/>
      <c r="C47" s="42" t="s">
        <v>13</v>
      </c>
      <c r="D47" s="43">
        <f>SUM(D40:D46)</f>
        <v>554370</v>
      </c>
      <c r="E47" s="455">
        <f>SUM(E40:E46)</f>
        <v>332014</v>
      </c>
      <c r="F47" s="78"/>
      <c r="G47" s="35"/>
      <c r="H47" s="35"/>
    </row>
    <row r="48" spans="1:17" s="35" customFormat="1" ht="15.75" thickBot="1">
      <c r="A48" s="1664"/>
      <c r="B48" s="80"/>
      <c r="C48" s="81"/>
    </row>
    <row r="49" spans="1:15" ht="83.25" customHeight="1">
      <c r="A49" s="82" t="s">
        <v>32</v>
      </c>
      <c r="B49" s="1663" t="s">
        <v>171</v>
      </c>
      <c r="C49" s="84" t="s">
        <v>9</v>
      </c>
      <c r="D49" s="69" t="s">
        <v>34</v>
      </c>
      <c r="E49" s="85" t="s">
        <v>35</v>
      </c>
      <c r="F49" s="85" t="s">
        <v>36</v>
      </c>
      <c r="G49" s="85" t="s">
        <v>37</v>
      </c>
      <c r="H49" s="85" t="s">
        <v>38</v>
      </c>
      <c r="I49" s="85" t="s">
        <v>39</v>
      </c>
      <c r="J49" s="85" t="s">
        <v>40</v>
      </c>
      <c r="K49" s="86" t="s">
        <v>41</v>
      </c>
    </row>
    <row r="50" spans="1:15" ht="17.25" customHeight="1">
      <c r="A50" s="1872" t="s">
        <v>463</v>
      </c>
      <c r="B50" s="1879"/>
      <c r="C50" s="87" t="s">
        <v>43</v>
      </c>
      <c r="D50" s="30"/>
      <c r="E50" s="31"/>
      <c r="F50" s="31"/>
      <c r="G50" s="31"/>
      <c r="H50" s="31"/>
      <c r="I50" s="31"/>
      <c r="J50" s="31"/>
      <c r="K50" s="34"/>
    </row>
    <row r="51" spans="1:15" ht="15" customHeight="1">
      <c r="A51" s="1874"/>
      <c r="B51" s="1881"/>
      <c r="C51" s="73">
        <v>2014</v>
      </c>
      <c r="D51" s="37"/>
      <c r="E51" s="38"/>
      <c r="F51" s="38"/>
      <c r="G51" s="38"/>
      <c r="H51" s="38"/>
      <c r="I51" s="38"/>
      <c r="J51" s="38"/>
      <c r="K51" s="88"/>
    </row>
    <row r="52" spans="1:15">
      <c r="A52" s="1874"/>
      <c r="B52" s="1881"/>
      <c r="C52" s="73">
        <v>2015</v>
      </c>
      <c r="D52" s="37"/>
      <c r="E52" s="38"/>
      <c r="F52" s="38"/>
      <c r="G52" s="38"/>
      <c r="H52" s="38"/>
      <c r="I52" s="38"/>
      <c r="J52" s="38"/>
      <c r="K52" s="88"/>
    </row>
    <row r="53" spans="1:15">
      <c r="A53" s="1874"/>
      <c r="B53" s="1881"/>
      <c r="C53" s="73">
        <v>2016</v>
      </c>
      <c r="D53" s="37">
        <v>0</v>
      </c>
      <c r="E53" s="38">
        <v>0</v>
      </c>
      <c r="F53" s="38">
        <v>0</v>
      </c>
      <c r="G53" s="38">
        <v>0</v>
      </c>
      <c r="H53" s="38">
        <v>0</v>
      </c>
      <c r="I53" s="38">
        <v>0</v>
      </c>
      <c r="J53" s="38">
        <v>0</v>
      </c>
      <c r="K53" s="88">
        <v>0</v>
      </c>
    </row>
    <row r="54" spans="1:15">
      <c r="A54" s="1874"/>
      <c r="B54" s="1881"/>
      <c r="C54" s="73">
        <v>2017</v>
      </c>
      <c r="D54" s="37"/>
      <c r="E54" s="38"/>
      <c r="F54" s="38"/>
      <c r="G54" s="38"/>
      <c r="H54" s="38"/>
      <c r="I54" s="38"/>
      <c r="J54" s="38">
        <v>3</v>
      </c>
      <c r="K54" s="88"/>
    </row>
    <row r="55" spans="1:15">
      <c r="A55" s="1874"/>
      <c r="B55" s="1881"/>
      <c r="C55" s="73">
        <v>2018</v>
      </c>
      <c r="D55" s="37"/>
      <c r="E55" s="38"/>
      <c r="F55" s="38"/>
      <c r="G55" s="38"/>
      <c r="H55" s="38"/>
      <c r="I55" s="38"/>
      <c r="J55" s="38"/>
      <c r="K55" s="88"/>
    </row>
    <row r="56" spans="1:15">
      <c r="A56" s="1874"/>
      <c r="B56" s="1881"/>
      <c r="C56" s="73">
        <v>2019</v>
      </c>
      <c r="D56" s="37"/>
      <c r="E56" s="38"/>
      <c r="F56" s="38"/>
      <c r="G56" s="38"/>
      <c r="H56" s="38"/>
      <c r="I56" s="38"/>
      <c r="J56" s="38"/>
      <c r="K56" s="88"/>
    </row>
    <row r="57" spans="1:15">
      <c r="A57" s="1874"/>
      <c r="B57" s="1881"/>
      <c r="C57" s="73">
        <v>2020</v>
      </c>
      <c r="D57" s="37"/>
      <c r="E57" s="38"/>
      <c r="F57" s="38"/>
      <c r="G57" s="38"/>
      <c r="H57" s="38"/>
      <c r="I57" s="38"/>
      <c r="J57" s="38"/>
      <c r="K57" s="93"/>
    </row>
    <row r="58" spans="1:15" ht="20.25" customHeight="1" thickBot="1">
      <c r="A58" s="1876"/>
      <c r="B58" s="1883"/>
      <c r="C58" s="42" t="s">
        <v>13</v>
      </c>
      <c r="D58" s="43">
        <f>SUM(D51:D57)</f>
        <v>0</v>
      </c>
      <c r="E58" s="44">
        <f>SUM(E51:E57)</f>
        <v>0</v>
      </c>
      <c r="F58" s="44">
        <f>SUM(F51:F57)</f>
        <v>0</v>
      </c>
      <c r="G58" s="44">
        <f>SUM(G51:G57)</f>
        <v>0</v>
      </c>
      <c r="H58" s="44">
        <f>SUM(H51:H57)</f>
        <v>0</v>
      </c>
      <c r="I58" s="44">
        <f t="shared" ref="I58" si="3">SUM(I51:I57)</f>
        <v>0</v>
      </c>
      <c r="J58" s="44">
        <f>SUM(J51:J57)</f>
        <v>3</v>
      </c>
      <c r="K58" s="48">
        <f>SUM(K50:K56)</f>
        <v>0</v>
      </c>
    </row>
    <row r="59" spans="1:15" ht="15.75" thickBot="1"/>
    <row r="60" spans="1:15" ht="21" customHeight="1">
      <c r="A60" s="2494" t="s">
        <v>44</v>
      </c>
      <c r="B60" s="1665"/>
      <c r="C60" s="2617" t="s">
        <v>9</v>
      </c>
      <c r="D60" s="2417" t="s">
        <v>45</v>
      </c>
      <c r="E60" s="96" t="s">
        <v>6</v>
      </c>
      <c r="F60" s="1666"/>
      <c r="G60" s="1666"/>
      <c r="H60" s="1666"/>
      <c r="I60" s="1666"/>
      <c r="J60" s="1666"/>
      <c r="K60" s="1666"/>
      <c r="L60" s="1667"/>
    </row>
    <row r="61" spans="1:15" ht="115.5" customHeight="1">
      <c r="A61" s="2616"/>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2608" t="s">
        <v>464</v>
      </c>
      <c r="B62" s="2594"/>
      <c r="C62" s="1668">
        <v>2014</v>
      </c>
      <c r="D62" s="107"/>
      <c r="E62" s="108"/>
      <c r="F62" s="109"/>
      <c r="G62" s="109"/>
      <c r="H62" s="109"/>
      <c r="I62" s="109"/>
      <c r="J62" s="109"/>
      <c r="K62" s="109"/>
      <c r="L62" s="34"/>
      <c r="M62" s="7"/>
      <c r="N62" s="7"/>
      <c r="O62" s="7"/>
    </row>
    <row r="63" spans="1:15">
      <c r="A63" s="2593"/>
      <c r="B63" s="2594"/>
      <c r="C63" s="110">
        <v>2015</v>
      </c>
      <c r="D63" s="111"/>
      <c r="E63" s="112"/>
      <c r="F63" s="38"/>
      <c r="G63" s="38"/>
      <c r="H63" s="38"/>
      <c r="I63" s="38"/>
      <c r="J63" s="38"/>
      <c r="K63" s="38"/>
      <c r="L63" s="88"/>
      <c r="M63" s="7"/>
      <c r="N63" s="7"/>
      <c r="O63" s="7"/>
    </row>
    <row r="64" spans="1:15">
      <c r="A64" s="2593"/>
      <c r="B64" s="2594"/>
      <c r="C64" s="110">
        <v>2016</v>
      </c>
      <c r="D64" s="111">
        <v>43</v>
      </c>
      <c r="E64" s="112">
        <v>43</v>
      </c>
      <c r="F64" s="38"/>
      <c r="G64" s="38"/>
      <c r="H64" s="38"/>
      <c r="I64" s="38"/>
      <c r="J64" s="38"/>
      <c r="K64" s="38"/>
      <c r="L64" s="88"/>
      <c r="M64" s="7"/>
      <c r="N64" s="7"/>
      <c r="O64" s="7"/>
    </row>
    <row r="65" spans="1:20">
      <c r="A65" s="2593"/>
      <c r="B65" s="2594"/>
      <c r="C65" s="110">
        <v>2017</v>
      </c>
      <c r="D65" s="111">
        <v>48</v>
      </c>
      <c r="E65" s="112">
        <v>48</v>
      </c>
      <c r="F65" s="38"/>
      <c r="G65" s="38"/>
      <c r="H65" s="38"/>
      <c r="I65" s="38"/>
      <c r="J65" s="38"/>
      <c r="K65" s="38"/>
      <c r="L65" s="88"/>
      <c r="M65" s="7"/>
      <c r="N65" s="7"/>
      <c r="O65" s="7"/>
    </row>
    <row r="66" spans="1:20">
      <c r="A66" s="2593"/>
      <c r="B66" s="2594"/>
      <c r="C66" s="110">
        <v>2018</v>
      </c>
      <c r="D66" s="111"/>
      <c r="E66" s="112"/>
      <c r="F66" s="38"/>
      <c r="G66" s="38"/>
      <c r="H66" s="38"/>
      <c r="I66" s="38"/>
      <c r="J66" s="38"/>
      <c r="K66" s="38"/>
      <c r="L66" s="88"/>
      <c r="M66" s="7"/>
      <c r="N66" s="7"/>
      <c r="O66" s="7"/>
    </row>
    <row r="67" spans="1:20" ht="17.25" customHeight="1">
      <c r="A67" s="2593"/>
      <c r="B67" s="2594"/>
      <c r="C67" s="110">
        <v>2019</v>
      </c>
      <c r="D67" s="111"/>
      <c r="E67" s="112"/>
      <c r="F67" s="38"/>
      <c r="G67" s="38"/>
      <c r="H67" s="38"/>
      <c r="I67" s="38"/>
      <c r="J67" s="38"/>
      <c r="K67" s="38"/>
      <c r="L67" s="88"/>
      <c r="M67" s="7"/>
      <c r="N67" s="7"/>
      <c r="O67" s="7"/>
    </row>
    <row r="68" spans="1:20" ht="16.5" customHeight="1">
      <c r="A68" s="2593"/>
      <c r="B68" s="2594"/>
      <c r="C68" s="110">
        <v>2020</v>
      </c>
      <c r="D68" s="111"/>
      <c r="E68" s="112"/>
      <c r="F68" s="38"/>
      <c r="G68" s="38"/>
      <c r="H68" s="38"/>
      <c r="I68" s="38"/>
      <c r="J68" s="38"/>
      <c r="K68" s="38"/>
      <c r="L68" s="88"/>
      <c r="M68" s="78"/>
      <c r="N68" s="78"/>
      <c r="O68" s="78"/>
    </row>
    <row r="69" spans="1:20" ht="18" customHeight="1" thickBot="1">
      <c r="A69" s="2609"/>
      <c r="B69" s="2596"/>
      <c r="C69" s="113" t="s">
        <v>13</v>
      </c>
      <c r="D69" s="114">
        <f>SUM(D62:D68)</f>
        <v>91</v>
      </c>
      <c r="E69" s="115">
        <f>SUM(E62:E68)</f>
        <v>91</v>
      </c>
      <c r="F69" s="116">
        <f t="shared" ref="F69:I69" si="4">SUM(F62:F68)</f>
        <v>0</v>
      </c>
      <c r="G69" s="116">
        <f t="shared" si="4"/>
        <v>0</v>
      </c>
      <c r="H69" s="116">
        <f t="shared" si="4"/>
        <v>0</v>
      </c>
      <c r="I69" s="116">
        <f t="shared" si="4"/>
        <v>0</v>
      </c>
      <c r="J69" s="116"/>
      <c r="K69" s="116">
        <f>SUM(K62:K68)</f>
        <v>0</v>
      </c>
      <c r="L69" s="117">
        <f>SUM(L62:L68)</f>
        <v>0</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1662" t="s">
        <v>47</v>
      </c>
      <c r="B71" s="1663"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2588" t="s">
        <v>465</v>
      </c>
      <c r="B72" s="2594"/>
      <c r="C72" s="72">
        <v>2014</v>
      </c>
      <c r="D72" s="131"/>
      <c r="E72" s="131"/>
      <c r="F72" s="131"/>
      <c r="G72" s="132">
        <f>SUM(D72:F72)</f>
        <v>0</v>
      </c>
      <c r="H72" s="30"/>
      <c r="I72" s="133"/>
      <c r="J72" s="109"/>
      <c r="K72" s="109"/>
      <c r="L72" s="109"/>
      <c r="M72" s="109"/>
      <c r="N72" s="109"/>
      <c r="O72" s="134"/>
    </row>
    <row r="73" spans="1:20">
      <c r="A73" s="2610"/>
      <c r="B73" s="2594"/>
      <c r="C73" s="73">
        <v>2015</v>
      </c>
      <c r="D73" s="135"/>
      <c r="E73" s="135"/>
      <c r="F73" s="135"/>
      <c r="G73" s="132">
        <f t="shared" ref="G73:G78" si="5">SUM(D73:F73)</f>
        <v>0</v>
      </c>
      <c r="H73" s="37"/>
      <c r="I73" s="37"/>
      <c r="J73" s="38"/>
      <c r="K73" s="38"/>
      <c r="L73" s="38"/>
      <c r="M73" s="38"/>
      <c r="N73" s="38"/>
      <c r="O73" s="88"/>
    </row>
    <row r="74" spans="1:20">
      <c r="A74" s="2610"/>
      <c r="B74" s="2594"/>
      <c r="C74" s="73">
        <v>2016</v>
      </c>
      <c r="D74" s="135">
        <v>0</v>
      </c>
      <c r="E74" s="135">
        <v>0</v>
      </c>
      <c r="F74" s="135">
        <v>0</v>
      </c>
      <c r="G74" s="132">
        <f t="shared" si="5"/>
        <v>0</v>
      </c>
      <c r="H74" s="37"/>
      <c r="I74" s="37"/>
      <c r="J74" s="38"/>
      <c r="K74" s="38"/>
      <c r="L74" s="38"/>
      <c r="M74" s="38"/>
      <c r="N74" s="38"/>
      <c r="O74" s="88"/>
    </row>
    <row r="75" spans="1:20">
      <c r="A75" s="2610"/>
      <c r="B75" s="2594"/>
      <c r="C75" s="73">
        <v>2017</v>
      </c>
      <c r="D75" s="135">
        <v>2</v>
      </c>
      <c r="E75" s="135"/>
      <c r="F75" s="135"/>
      <c r="G75" s="132">
        <f t="shared" si="5"/>
        <v>2</v>
      </c>
      <c r="H75" s="37">
        <v>2</v>
      </c>
      <c r="I75" s="37"/>
      <c r="J75" s="38"/>
      <c r="K75" s="38"/>
      <c r="L75" s="38"/>
      <c r="M75" s="38"/>
      <c r="N75" s="38"/>
      <c r="O75" s="88"/>
    </row>
    <row r="76" spans="1:20">
      <c r="A76" s="2610"/>
      <c r="B76" s="2594"/>
      <c r="C76" s="73">
        <v>2018</v>
      </c>
      <c r="D76" s="135"/>
      <c r="E76" s="135"/>
      <c r="F76" s="135"/>
      <c r="G76" s="132">
        <f t="shared" si="5"/>
        <v>0</v>
      </c>
      <c r="H76" s="37"/>
      <c r="I76" s="37"/>
      <c r="J76" s="38"/>
      <c r="K76" s="38"/>
      <c r="L76" s="38"/>
      <c r="M76" s="38"/>
      <c r="N76" s="38"/>
      <c r="O76" s="88"/>
    </row>
    <row r="77" spans="1:20" ht="15.75" customHeight="1">
      <c r="A77" s="2610"/>
      <c r="B77" s="2594"/>
      <c r="C77" s="73">
        <v>2019</v>
      </c>
      <c r="D77" s="135"/>
      <c r="E77" s="135"/>
      <c r="F77" s="135"/>
      <c r="G77" s="132">
        <f t="shared" si="5"/>
        <v>0</v>
      </c>
      <c r="H77" s="37"/>
      <c r="I77" s="37"/>
      <c r="J77" s="38"/>
      <c r="K77" s="38"/>
      <c r="L77" s="38"/>
      <c r="M77" s="38"/>
      <c r="N77" s="38"/>
      <c r="O77" s="88"/>
    </row>
    <row r="78" spans="1:20" ht="17.25" customHeight="1">
      <c r="A78" s="2610"/>
      <c r="B78" s="2594"/>
      <c r="C78" s="73">
        <v>2020</v>
      </c>
      <c r="D78" s="135"/>
      <c r="E78" s="135"/>
      <c r="F78" s="135"/>
      <c r="G78" s="132">
        <f t="shared" si="5"/>
        <v>0</v>
      </c>
      <c r="H78" s="37"/>
      <c r="I78" s="37"/>
      <c r="J78" s="38"/>
      <c r="K78" s="38"/>
      <c r="L78" s="38"/>
      <c r="M78" s="38"/>
      <c r="N78" s="38"/>
      <c r="O78" s="88"/>
    </row>
    <row r="79" spans="1:20" ht="20.25" customHeight="1" thickBot="1">
      <c r="A79" s="2609"/>
      <c r="B79" s="2596"/>
      <c r="C79" s="136" t="s">
        <v>13</v>
      </c>
      <c r="D79" s="114">
        <f>SUM(D72:D78)</f>
        <v>2</v>
      </c>
      <c r="E79" s="114">
        <f>SUM(E72:E78)</f>
        <v>0</v>
      </c>
      <c r="F79" s="114">
        <f>SUM(F72:F78)</f>
        <v>0</v>
      </c>
      <c r="G79" s="137">
        <f>SUM(G72:G78)</f>
        <v>2</v>
      </c>
      <c r="H79" s="138">
        <v>0</v>
      </c>
      <c r="I79" s="139">
        <f t="shared" ref="I79:O79" si="6">SUM(I72:I78)</f>
        <v>0</v>
      </c>
      <c r="J79" s="116">
        <f t="shared" si="6"/>
        <v>0</v>
      </c>
      <c r="K79" s="116">
        <f t="shared" si="6"/>
        <v>0</v>
      </c>
      <c r="L79" s="116">
        <f t="shared" si="6"/>
        <v>0</v>
      </c>
      <c r="M79" s="116">
        <f t="shared" si="6"/>
        <v>0</v>
      </c>
      <c r="N79" s="116">
        <f t="shared" si="6"/>
        <v>0</v>
      </c>
      <c r="O79" s="117">
        <f t="shared" si="6"/>
        <v>0</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1669" t="s">
        <v>56</v>
      </c>
      <c r="B84" s="1670" t="s">
        <v>178</v>
      </c>
      <c r="C84" s="149" t="s">
        <v>9</v>
      </c>
      <c r="D84" s="150" t="s">
        <v>58</v>
      </c>
      <c r="E84" s="151" t="s">
        <v>59</v>
      </c>
      <c r="F84" s="152" t="s">
        <v>60</v>
      </c>
      <c r="G84" s="152" t="s">
        <v>61</v>
      </c>
      <c r="H84" s="152" t="s">
        <v>62</v>
      </c>
      <c r="I84" s="152" t="s">
        <v>63</v>
      </c>
      <c r="J84" s="152" t="s">
        <v>64</v>
      </c>
      <c r="K84" s="153" t="s">
        <v>65</v>
      </c>
    </row>
    <row r="85" spans="1:16" ht="15" customHeight="1">
      <c r="A85" s="1938"/>
      <c r="B85" s="1899"/>
      <c r="C85" s="72">
        <v>2014</v>
      </c>
      <c r="D85" s="154"/>
      <c r="E85" s="155"/>
      <c r="F85" s="31"/>
      <c r="G85" s="31"/>
      <c r="H85" s="31"/>
      <c r="I85" s="31"/>
      <c r="J85" s="31"/>
      <c r="K85" s="34"/>
    </row>
    <row r="86" spans="1:16">
      <c r="A86" s="1939"/>
      <c r="B86" s="1899"/>
      <c r="C86" s="73">
        <v>2015</v>
      </c>
      <c r="D86" s="156"/>
      <c r="E86" s="112"/>
      <c r="F86" s="38"/>
      <c r="G86" s="38"/>
      <c r="H86" s="38"/>
      <c r="I86" s="38"/>
      <c r="J86" s="38"/>
      <c r="K86" s="88"/>
    </row>
    <row r="87" spans="1:16">
      <c r="A87" s="1939"/>
      <c r="B87" s="1899"/>
      <c r="C87" s="73">
        <v>2016</v>
      </c>
      <c r="D87" s="156"/>
      <c r="E87" s="112"/>
      <c r="F87" s="38"/>
      <c r="G87" s="38"/>
      <c r="H87" s="38"/>
      <c r="I87" s="38"/>
      <c r="J87" s="38"/>
      <c r="K87" s="88"/>
    </row>
    <row r="88" spans="1:16">
      <c r="A88" s="1939"/>
      <c r="B88" s="1899"/>
      <c r="C88" s="73">
        <v>2017</v>
      </c>
      <c r="D88" s="156"/>
      <c r="E88" s="112"/>
      <c r="F88" s="38"/>
      <c r="G88" s="38"/>
      <c r="H88" s="38"/>
      <c r="I88" s="38"/>
      <c r="J88" s="38"/>
      <c r="K88" s="88"/>
    </row>
    <row r="89" spans="1:16">
      <c r="A89" s="1939"/>
      <c r="B89" s="1899"/>
      <c r="C89" s="73">
        <v>2018</v>
      </c>
      <c r="D89" s="156"/>
      <c r="E89" s="112"/>
      <c r="F89" s="38"/>
      <c r="G89" s="38"/>
      <c r="H89" s="38"/>
      <c r="I89" s="38"/>
      <c r="J89" s="38"/>
      <c r="K89" s="88"/>
    </row>
    <row r="90" spans="1:16">
      <c r="A90" s="1939"/>
      <c r="B90" s="1899"/>
      <c r="C90" s="73">
        <v>2019</v>
      </c>
      <c r="D90" s="156"/>
      <c r="E90" s="112"/>
      <c r="F90" s="38"/>
      <c r="G90" s="38"/>
      <c r="H90" s="38"/>
      <c r="I90" s="38"/>
      <c r="J90" s="38"/>
      <c r="K90" s="88"/>
    </row>
    <row r="91" spans="1:16">
      <c r="A91" s="1939"/>
      <c r="B91" s="1899"/>
      <c r="C91" s="73">
        <v>2020</v>
      </c>
      <c r="D91" s="156"/>
      <c r="E91" s="112"/>
      <c r="F91" s="38"/>
      <c r="G91" s="38"/>
      <c r="H91" s="38"/>
      <c r="I91" s="38"/>
      <c r="J91" s="38"/>
      <c r="K91" s="88"/>
    </row>
    <row r="92" spans="1:16" ht="18" customHeight="1" thickBot="1">
      <c r="A92" s="1940"/>
      <c r="B92" s="1900"/>
      <c r="C92" s="136" t="s">
        <v>13</v>
      </c>
      <c r="D92" s="157">
        <f t="shared" ref="D92:I92" si="7">SUM(D85:D91)</f>
        <v>0</v>
      </c>
      <c r="E92" s="115">
        <f t="shared" si="7"/>
        <v>0</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497" t="s">
        <v>68</v>
      </c>
      <c r="B96" s="2605" t="s">
        <v>179</v>
      </c>
      <c r="C96" s="2607" t="s">
        <v>9</v>
      </c>
      <c r="D96" s="1916" t="s">
        <v>70</v>
      </c>
      <c r="E96" s="1917"/>
      <c r="F96" s="162" t="s">
        <v>71</v>
      </c>
      <c r="G96" s="1671"/>
      <c r="H96" s="1671"/>
      <c r="I96" s="1671"/>
      <c r="J96" s="1671"/>
      <c r="K96" s="1671"/>
      <c r="L96" s="1671"/>
      <c r="M96" s="1672"/>
      <c r="N96" s="165"/>
      <c r="O96" s="165"/>
      <c r="P96" s="165"/>
    </row>
    <row r="97" spans="1:16" ht="100.5" customHeight="1">
      <c r="A97" s="2604"/>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1898"/>
      <c r="B98" s="1899"/>
      <c r="C98" s="106">
        <v>2014</v>
      </c>
      <c r="D98" s="30"/>
      <c r="E98" s="31"/>
      <c r="F98" s="174"/>
      <c r="G98" s="175"/>
      <c r="H98" s="175"/>
      <c r="I98" s="175"/>
      <c r="J98" s="175"/>
      <c r="K98" s="175"/>
      <c r="L98" s="175"/>
      <c r="M98" s="176"/>
      <c r="N98" s="165"/>
      <c r="O98" s="165"/>
      <c r="P98" s="165"/>
    </row>
    <row r="99" spans="1:16" ht="16.5" customHeight="1">
      <c r="A99" s="1891"/>
      <c r="B99" s="1899"/>
      <c r="C99" s="110">
        <v>2015</v>
      </c>
      <c r="D99" s="37"/>
      <c r="E99" s="38"/>
      <c r="F99" s="177"/>
      <c r="G99" s="178"/>
      <c r="H99" s="178"/>
      <c r="I99" s="178"/>
      <c r="J99" s="178"/>
      <c r="K99" s="178"/>
      <c r="L99" s="178"/>
      <c r="M99" s="179"/>
      <c r="N99" s="165"/>
      <c r="O99" s="165"/>
      <c r="P99" s="165"/>
    </row>
    <row r="100" spans="1:16" ht="16.5" customHeight="1">
      <c r="A100" s="1891"/>
      <c r="B100" s="1899"/>
      <c r="C100" s="110">
        <v>2016</v>
      </c>
      <c r="D100" s="37"/>
      <c r="E100" s="38"/>
      <c r="F100" s="177"/>
      <c r="G100" s="178"/>
      <c r="H100" s="178"/>
      <c r="I100" s="178"/>
      <c r="J100" s="178"/>
      <c r="K100" s="178"/>
      <c r="L100" s="178"/>
      <c r="M100" s="179"/>
      <c r="N100" s="165"/>
      <c r="O100" s="165"/>
      <c r="P100" s="165"/>
    </row>
    <row r="101" spans="1:16" ht="16.5" customHeight="1">
      <c r="A101" s="1891"/>
      <c r="B101" s="1899"/>
      <c r="C101" s="110">
        <v>2017</v>
      </c>
      <c r="D101" s="37"/>
      <c r="E101" s="38"/>
      <c r="F101" s="177"/>
      <c r="G101" s="178"/>
      <c r="H101" s="178"/>
      <c r="I101" s="178"/>
      <c r="J101" s="178"/>
      <c r="K101" s="178"/>
      <c r="L101" s="178"/>
      <c r="M101" s="179"/>
      <c r="N101" s="165"/>
      <c r="O101" s="165"/>
      <c r="P101" s="165"/>
    </row>
    <row r="102" spans="1:16" ht="15.75" customHeight="1">
      <c r="A102" s="1891"/>
      <c r="B102" s="1899"/>
      <c r="C102" s="110">
        <v>2018</v>
      </c>
      <c r="D102" s="37"/>
      <c r="E102" s="38"/>
      <c r="F102" s="177"/>
      <c r="G102" s="178"/>
      <c r="H102" s="178"/>
      <c r="I102" s="178"/>
      <c r="J102" s="178"/>
      <c r="K102" s="178"/>
      <c r="L102" s="178"/>
      <c r="M102" s="179"/>
      <c r="N102" s="165"/>
      <c r="O102" s="165"/>
      <c r="P102" s="165"/>
    </row>
    <row r="103" spans="1:16" ht="14.25" customHeight="1">
      <c r="A103" s="1891"/>
      <c r="B103" s="1899"/>
      <c r="C103" s="110">
        <v>2019</v>
      </c>
      <c r="D103" s="37"/>
      <c r="E103" s="38"/>
      <c r="F103" s="177"/>
      <c r="G103" s="178"/>
      <c r="H103" s="178"/>
      <c r="I103" s="178"/>
      <c r="J103" s="178"/>
      <c r="K103" s="178"/>
      <c r="L103" s="178"/>
      <c r="M103" s="179"/>
      <c r="N103" s="165"/>
      <c r="O103" s="165"/>
      <c r="P103" s="165"/>
    </row>
    <row r="104" spans="1:16" ht="14.25" customHeight="1">
      <c r="A104" s="1891"/>
      <c r="B104" s="1899"/>
      <c r="C104" s="110">
        <v>2020</v>
      </c>
      <c r="D104" s="37"/>
      <c r="E104" s="38"/>
      <c r="F104" s="177"/>
      <c r="G104" s="178"/>
      <c r="H104" s="178"/>
      <c r="I104" s="178"/>
      <c r="J104" s="178"/>
      <c r="K104" s="178"/>
      <c r="L104" s="178"/>
      <c r="M104" s="179"/>
      <c r="N104" s="165"/>
      <c r="O104" s="165"/>
      <c r="P104" s="165"/>
    </row>
    <row r="105" spans="1:16" ht="19.5" customHeight="1" thickBot="1">
      <c r="A105" s="1915"/>
      <c r="B105" s="1900"/>
      <c r="C105" s="113" t="s">
        <v>13</v>
      </c>
      <c r="D105" s="139">
        <f>SUM(D98:D104)</f>
        <v>0</v>
      </c>
      <c r="E105" s="116">
        <f t="shared" ref="E105:K105" si="8">SUM(E98:E104)</f>
        <v>0</v>
      </c>
      <c r="F105" s="180">
        <f t="shared" si="8"/>
        <v>0</v>
      </c>
      <c r="G105" s="181">
        <f t="shared" si="8"/>
        <v>0</v>
      </c>
      <c r="H105" s="181">
        <f t="shared" si="8"/>
        <v>0</v>
      </c>
      <c r="I105" s="181">
        <f>SUM(I98:I104)</f>
        <v>0</v>
      </c>
      <c r="J105" s="181">
        <f t="shared" si="8"/>
        <v>0</v>
      </c>
      <c r="K105" s="181">
        <f t="shared" si="8"/>
        <v>0</v>
      </c>
      <c r="L105" s="181">
        <f>SUM(L98:L104)</f>
        <v>0</v>
      </c>
      <c r="M105" s="182">
        <f>SUM(M98:M104)</f>
        <v>0</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497" t="s">
        <v>77</v>
      </c>
      <c r="B107" s="2605" t="s">
        <v>179</v>
      </c>
      <c r="C107" s="2607" t="s">
        <v>9</v>
      </c>
      <c r="D107" s="2414" t="s">
        <v>78</v>
      </c>
      <c r="E107" s="162" t="s">
        <v>79</v>
      </c>
      <c r="F107" s="1671"/>
      <c r="G107" s="1671"/>
      <c r="H107" s="1671"/>
      <c r="I107" s="1671"/>
      <c r="J107" s="1671"/>
      <c r="K107" s="1671"/>
      <c r="L107" s="1672"/>
      <c r="M107" s="185"/>
      <c r="N107" s="185"/>
    </row>
    <row r="108" spans="1:16" ht="103.5" customHeight="1">
      <c r="A108" s="2604"/>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1898"/>
      <c r="B109" s="1899"/>
      <c r="C109" s="106">
        <v>2014</v>
      </c>
      <c r="D109" s="31"/>
      <c r="E109" s="174"/>
      <c r="F109" s="175"/>
      <c r="G109" s="175"/>
      <c r="H109" s="175"/>
      <c r="I109" s="175"/>
      <c r="J109" s="175"/>
      <c r="K109" s="175"/>
      <c r="L109" s="176"/>
      <c r="M109" s="185"/>
      <c r="N109" s="185"/>
    </row>
    <row r="110" spans="1:16">
      <c r="A110" s="1891"/>
      <c r="B110" s="1899"/>
      <c r="C110" s="110">
        <v>2015</v>
      </c>
      <c r="D110" s="38"/>
      <c r="E110" s="177"/>
      <c r="F110" s="178"/>
      <c r="G110" s="178"/>
      <c r="H110" s="178"/>
      <c r="I110" s="178"/>
      <c r="J110" s="178"/>
      <c r="K110" s="178"/>
      <c r="L110" s="179"/>
      <c r="M110" s="185"/>
      <c r="N110" s="185"/>
    </row>
    <row r="111" spans="1:16">
      <c r="A111" s="1891"/>
      <c r="B111" s="1899"/>
      <c r="C111" s="110">
        <v>2016</v>
      </c>
      <c r="D111" s="38"/>
      <c r="E111" s="177"/>
      <c r="F111" s="178"/>
      <c r="G111" s="178"/>
      <c r="H111" s="178"/>
      <c r="I111" s="178"/>
      <c r="J111" s="178"/>
      <c r="K111" s="178"/>
      <c r="L111" s="179"/>
      <c r="M111" s="185"/>
      <c r="N111" s="185"/>
    </row>
    <row r="112" spans="1:16">
      <c r="A112" s="1891"/>
      <c r="B112" s="1899"/>
      <c r="C112" s="110">
        <v>2017</v>
      </c>
      <c r="D112" s="38"/>
      <c r="E112" s="177"/>
      <c r="F112" s="178"/>
      <c r="G112" s="178"/>
      <c r="H112" s="178"/>
      <c r="I112" s="178"/>
      <c r="J112" s="178"/>
      <c r="K112" s="178"/>
      <c r="L112" s="179"/>
      <c r="M112" s="185"/>
      <c r="N112" s="185"/>
    </row>
    <row r="113" spans="1:14">
      <c r="A113" s="1891"/>
      <c r="B113" s="1899"/>
      <c r="C113" s="110">
        <v>2018</v>
      </c>
      <c r="D113" s="38"/>
      <c r="E113" s="177"/>
      <c r="F113" s="178"/>
      <c r="G113" s="178"/>
      <c r="H113" s="178"/>
      <c r="I113" s="178"/>
      <c r="J113" s="178"/>
      <c r="K113" s="178"/>
      <c r="L113" s="179"/>
      <c r="M113" s="185"/>
      <c r="N113" s="185"/>
    </row>
    <row r="114" spans="1:14">
      <c r="A114" s="1891"/>
      <c r="B114" s="1899"/>
      <c r="C114" s="110">
        <v>2019</v>
      </c>
      <c r="D114" s="38"/>
      <c r="E114" s="177"/>
      <c r="F114" s="178"/>
      <c r="G114" s="178"/>
      <c r="H114" s="178"/>
      <c r="I114" s="178"/>
      <c r="J114" s="178"/>
      <c r="K114" s="178"/>
      <c r="L114" s="179"/>
      <c r="M114" s="185"/>
      <c r="N114" s="185"/>
    </row>
    <row r="115" spans="1:14">
      <c r="A115" s="1891"/>
      <c r="B115" s="1899"/>
      <c r="C115" s="110">
        <v>2020</v>
      </c>
      <c r="D115" s="38"/>
      <c r="E115" s="177"/>
      <c r="F115" s="178"/>
      <c r="G115" s="178"/>
      <c r="H115" s="178"/>
      <c r="I115" s="178"/>
      <c r="J115" s="178"/>
      <c r="K115" s="178"/>
      <c r="L115" s="179"/>
      <c r="M115" s="185"/>
      <c r="N115" s="185"/>
    </row>
    <row r="116" spans="1:14" ht="25.5" customHeight="1" thickBot="1">
      <c r="A116" s="1915"/>
      <c r="B116" s="1900"/>
      <c r="C116" s="113" t="s">
        <v>13</v>
      </c>
      <c r="D116" s="116">
        <f t="shared" ref="D116:I116" si="9">SUM(D109:D115)</f>
        <v>0</v>
      </c>
      <c r="E116" s="180">
        <f t="shared" si="9"/>
        <v>0</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497" t="s">
        <v>81</v>
      </c>
      <c r="B118" s="2605" t="s">
        <v>179</v>
      </c>
      <c r="C118" s="2607" t="s">
        <v>9</v>
      </c>
      <c r="D118" s="2414" t="s">
        <v>82</v>
      </c>
      <c r="E118" s="162" t="s">
        <v>79</v>
      </c>
      <c r="F118" s="1671"/>
      <c r="G118" s="1671"/>
      <c r="H118" s="1671"/>
      <c r="I118" s="1671"/>
      <c r="J118" s="1671"/>
      <c r="K118" s="1671"/>
      <c r="L118" s="1672"/>
      <c r="M118" s="185"/>
      <c r="N118" s="185"/>
    </row>
    <row r="119" spans="1:14" ht="120.75" customHeight="1">
      <c r="A119" s="2604"/>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1898"/>
      <c r="B120" s="1899"/>
      <c r="C120" s="106">
        <v>2014</v>
      </c>
      <c r="D120" s="31"/>
      <c r="E120" s="174"/>
      <c r="F120" s="175"/>
      <c r="G120" s="175"/>
      <c r="H120" s="175"/>
      <c r="I120" s="175"/>
      <c r="J120" s="175"/>
      <c r="K120" s="175"/>
      <c r="L120" s="176"/>
      <c r="M120" s="185"/>
      <c r="N120" s="185"/>
    </row>
    <row r="121" spans="1:14">
      <c r="A121" s="1891"/>
      <c r="B121" s="1899"/>
      <c r="C121" s="110">
        <v>2015</v>
      </c>
      <c r="D121" s="38"/>
      <c r="E121" s="177"/>
      <c r="F121" s="178"/>
      <c r="G121" s="178"/>
      <c r="H121" s="178"/>
      <c r="I121" s="178"/>
      <c r="J121" s="178"/>
      <c r="K121" s="178"/>
      <c r="L121" s="179"/>
      <c r="M121" s="185"/>
      <c r="N121" s="185"/>
    </row>
    <row r="122" spans="1:14">
      <c r="A122" s="1891"/>
      <c r="B122" s="1899"/>
      <c r="C122" s="110">
        <v>2016</v>
      </c>
      <c r="D122" s="38"/>
      <c r="E122" s="177"/>
      <c r="F122" s="178"/>
      <c r="G122" s="178"/>
      <c r="H122" s="178"/>
      <c r="I122" s="178"/>
      <c r="J122" s="178"/>
      <c r="K122" s="178"/>
      <c r="L122" s="179"/>
      <c r="M122" s="185"/>
      <c r="N122" s="185"/>
    </row>
    <row r="123" spans="1:14">
      <c r="A123" s="1891"/>
      <c r="B123" s="1899"/>
      <c r="C123" s="110">
        <v>2017</v>
      </c>
      <c r="D123" s="38"/>
      <c r="E123" s="177"/>
      <c r="F123" s="178"/>
      <c r="G123" s="178"/>
      <c r="H123" s="178"/>
      <c r="I123" s="178"/>
      <c r="J123" s="178"/>
      <c r="K123" s="178"/>
      <c r="L123" s="179"/>
      <c r="M123" s="185"/>
      <c r="N123" s="185"/>
    </row>
    <row r="124" spans="1:14">
      <c r="A124" s="1891"/>
      <c r="B124" s="1899"/>
      <c r="C124" s="110">
        <v>2018</v>
      </c>
      <c r="D124" s="38"/>
      <c r="E124" s="177"/>
      <c r="F124" s="178"/>
      <c r="G124" s="178"/>
      <c r="H124" s="178"/>
      <c r="I124" s="178"/>
      <c r="J124" s="178"/>
      <c r="K124" s="178"/>
      <c r="L124" s="179"/>
      <c r="M124" s="185"/>
      <c r="N124" s="185"/>
    </row>
    <row r="125" spans="1:14">
      <c r="A125" s="1891"/>
      <c r="B125" s="1899"/>
      <c r="C125" s="110">
        <v>2019</v>
      </c>
      <c r="D125" s="38"/>
      <c r="E125" s="177"/>
      <c r="F125" s="178"/>
      <c r="G125" s="178"/>
      <c r="H125" s="178"/>
      <c r="I125" s="178"/>
      <c r="J125" s="178"/>
      <c r="K125" s="178"/>
      <c r="L125" s="179"/>
      <c r="M125" s="185"/>
      <c r="N125" s="185"/>
    </row>
    <row r="126" spans="1:14">
      <c r="A126" s="1891"/>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497" t="s">
        <v>84</v>
      </c>
      <c r="B129" s="2605" t="s">
        <v>179</v>
      </c>
      <c r="C129" s="1673" t="s">
        <v>9</v>
      </c>
      <c r="D129" s="189" t="s">
        <v>85</v>
      </c>
      <c r="E129" s="1674"/>
      <c r="F129" s="1674"/>
      <c r="G129" s="191"/>
      <c r="H129" s="185"/>
      <c r="I129" s="185"/>
      <c r="J129" s="185"/>
      <c r="K129" s="185"/>
      <c r="L129" s="185"/>
      <c r="M129" s="185"/>
      <c r="N129" s="185"/>
    </row>
    <row r="130" spans="1:16" ht="77.25" customHeight="1">
      <c r="A130" s="2604"/>
      <c r="B130" s="1912"/>
      <c r="C130" s="1528"/>
      <c r="D130" s="166" t="s">
        <v>86</v>
      </c>
      <c r="E130" s="193" t="s">
        <v>87</v>
      </c>
      <c r="F130" s="167" t="s">
        <v>88</v>
      </c>
      <c r="G130" s="194" t="s">
        <v>13</v>
      </c>
      <c r="H130" s="185"/>
      <c r="I130" s="185"/>
      <c r="J130" s="185"/>
      <c r="K130" s="185"/>
      <c r="L130" s="185"/>
      <c r="M130" s="185"/>
      <c r="N130" s="185"/>
    </row>
    <row r="131" spans="1:16" ht="15" customHeight="1">
      <c r="A131" s="1874"/>
      <c r="B131" s="1855"/>
      <c r="C131" s="106">
        <v>2015</v>
      </c>
      <c r="D131" s="30"/>
      <c r="E131" s="31"/>
      <c r="F131" s="31"/>
      <c r="G131" s="195">
        <f t="shared" ref="G131:G136" si="11">SUM(D131:F131)</f>
        <v>0</v>
      </c>
      <c r="H131" s="185"/>
      <c r="I131" s="185"/>
      <c r="J131" s="185"/>
      <c r="K131" s="185"/>
      <c r="L131" s="185"/>
      <c r="M131" s="185"/>
      <c r="N131" s="185"/>
    </row>
    <row r="132" spans="1:16">
      <c r="A132" s="1854"/>
      <c r="B132" s="1855"/>
      <c r="C132" s="110">
        <v>2016</v>
      </c>
      <c r="D132" s="37"/>
      <c r="E132" s="38"/>
      <c r="F132" s="38"/>
      <c r="G132" s="195">
        <f t="shared" si="11"/>
        <v>0</v>
      </c>
      <c r="H132" s="185"/>
      <c r="I132" s="185"/>
      <c r="J132" s="185"/>
      <c r="K132" s="185"/>
      <c r="L132" s="185"/>
      <c r="M132" s="185"/>
      <c r="N132" s="185"/>
    </row>
    <row r="133" spans="1:16">
      <c r="A133" s="1854"/>
      <c r="B133" s="1855"/>
      <c r="C133" s="110">
        <v>2017</v>
      </c>
      <c r="D133" s="37"/>
      <c r="E133" s="38"/>
      <c r="F133" s="38"/>
      <c r="G133" s="195">
        <f t="shared" si="11"/>
        <v>0</v>
      </c>
      <c r="H133" s="185"/>
      <c r="I133" s="185"/>
      <c r="J133" s="185"/>
      <c r="K133" s="185"/>
      <c r="L133" s="185"/>
      <c r="M133" s="185"/>
      <c r="N133" s="185"/>
    </row>
    <row r="134" spans="1:16">
      <c r="A134" s="1854"/>
      <c r="B134" s="1855"/>
      <c r="C134" s="110">
        <v>2018</v>
      </c>
      <c r="D134" s="37"/>
      <c r="E134" s="38"/>
      <c r="F134" s="38"/>
      <c r="G134" s="195">
        <f t="shared" si="11"/>
        <v>0</v>
      </c>
      <c r="H134" s="185"/>
      <c r="I134" s="185"/>
      <c r="J134" s="185"/>
      <c r="K134" s="185"/>
      <c r="L134" s="185"/>
      <c r="M134" s="185"/>
      <c r="N134" s="185"/>
    </row>
    <row r="135" spans="1:16">
      <c r="A135" s="1854"/>
      <c r="B135" s="1855"/>
      <c r="C135" s="110">
        <v>2019</v>
      </c>
      <c r="D135" s="37"/>
      <c r="E135" s="38"/>
      <c r="F135" s="38"/>
      <c r="G135" s="195">
        <f t="shared" si="11"/>
        <v>0</v>
      </c>
      <c r="H135" s="185"/>
      <c r="I135" s="185"/>
      <c r="J135" s="185"/>
      <c r="K135" s="185"/>
      <c r="L135" s="185"/>
      <c r="M135" s="185"/>
      <c r="N135" s="185"/>
    </row>
    <row r="136" spans="1:16">
      <c r="A136" s="1854"/>
      <c r="B136" s="1855"/>
      <c r="C136" s="110">
        <v>2020</v>
      </c>
      <c r="D136" s="37"/>
      <c r="E136" s="38"/>
      <c r="F136" s="38"/>
      <c r="G136" s="195">
        <f t="shared" si="11"/>
        <v>0</v>
      </c>
      <c r="H136" s="185"/>
      <c r="I136" s="185"/>
      <c r="J136" s="185"/>
      <c r="K136" s="185"/>
      <c r="L136" s="185"/>
      <c r="M136" s="185"/>
      <c r="N136" s="185"/>
    </row>
    <row r="137" spans="1:16" ht="17.25" customHeight="1" thickBot="1">
      <c r="A137" s="1856"/>
      <c r="B137" s="1857"/>
      <c r="C137" s="113" t="s">
        <v>13</v>
      </c>
      <c r="D137" s="139">
        <f>SUM(D131:D136)</f>
        <v>0</v>
      </c>
      <c r="E137" s="139">
        <f t="shared" ref="E137:F137" si="12">SUM(E131:E136)</f>
        <v>0</v>
      </c>
      <c r="F137" s="139">
        <f t="shared" si="12"/>
        <v>0</v>
      </c>
      <c r="G137" s="196">
        <f>SUM(G131:G136)</f>
        <v>0</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500" t="s">
        <v>91</v>
      </c>
      <c r="B142" s="2601" t="s">
        <v>179</v>
      </c>
      <c r="C142" s="2603" t="s">
        <v>9</v>
      </c>
      <c r="D142" s="1675" t="s">
        <v>92</v>
      </c>
      <c r="E142" s="1676"/>
      <c r="F142" s="1676"/>
      <c r="G142" s="1676"/>
      <c r="H142" s="1676"/>
      <c r="I142" s="1677"/>
      <c r="J142" s="2597" t="s">
        <v>93</v>
      </c>
      <c r="K142" s="2598"/>
      <c r="L142" s="2598"/>
      <c r="M142" s="2598"/>
      <c r="N142" s="2599"/>
      <c r="O142" s="165"/>
      <c r="P142" s="165"/>
    </row>
    <row r="143" spans="1:16" ht="113.25" customHeight="1">
      <c r="A143" s="2606"/>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c r="B144" s="1899"/>
      <c r="C144" s="106">
        <v>2014</v>
      </c>
      <c r="D144" s="30"/>
      <c r="E144" s="30"/>
      <c r="F144" s="31"/>
      <c r="G144" s="175"/>
      <c r="H144" s="175"/>
      <c r="I144" s="213">
        <f>D144+F144+G144+H144</f>
        <v>0</v>
      </c>
      <c r="J144" s="214"/>
      <c r="K144" s="215"/>
      <c r="L144" s="214"/>
      <c r="M144" s="215"/>
      <c r="N144" s="216"/>
      <c r="O144" s="165"/>
      <c r="P144" s="165"/>
    </row>
    <row r="145" spans="1:16" ht="19.5" customHeight="1">
      <c r="A145" s="1891"/>
      <c r="B145" s="1899"/>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1891"/>
      <c r="B146" s="1899"/>
      <c r="C146" s="110">
        <v>2016</v>
      </c>
      <c r="D146" s="37"/>
      <c r="E146" s="37"/>
      <c r="F146" s="38"/>
      <c r="G146" s="178"/>
      <c r="H146" s="178"/>
      <c r="I146" s="213">
        <f t="shared" si="13"/>
        <v>0</v>
      </c>
      <c r="J146" s="217"/>
      <c r="K146" s="218"/>
      <c r="L146" s="217"/>
      <c r="M146" s="218"/>
      <c r="N146" s="219"/>
      <c r="O146" s="165"/>
      <c r="P146" s="165"/>
    </row>
    <row r="147" spans="1:16" ht="17.25" customHeight="1">
      <c r="A147" s="1891"/>
      <c r="B147" s="1899"/>
      <c r="C147" s="110">
        <v>2017</v>
      </c>
      <c r="D147" s="37"/>
      <c r="E147" s="37"/>
      <c r="F147" s="38"/>
      <c r="G147" s="178"/>
      <c r="H147" s="178"/>
      <c r="I147" s="213">
        <f t="shared" si="13"/>
        <v>0</v>
      </c>
      <c r="J147" s="217"/>
      <c r="K147" s="218"/>
      <c r="L147" s="217"/>
      <c r="M147" s="218"/>
      <c r="N147" s="219"/>
      <c r="O147" s="165"/>
      <c r="P147" s="165"/>
    </row>
    <row r="148" spans="1:16" ht="19.5" customHeight="1">
      <c r="A148" s="1891"/>
      <c r="B148" s="1899"/>
      <c r="C148" s="110">
        <v>2018</v>
      </c>
      <c r="D148" s="37"/>
      <c r="E148" s="37"/>
      <c r="F148" s="38"/>
      <c r="G148" s="178"/>
      <c r="H148" s="178"/>
      <c r="I148" s="213">
        <f t="shared" si="13"/>
        <v>0</v>
      </c>
      <c r="J148" s="217"/>
      <c r="K148" s="218"/>
      <c r="L148" s="217"/>
      <c r="M148" s="218"/>
      <c r="N148" s="219"/>
      <c r="O148" s="165"/>
      <c r="P148" s="165"/>
    </row>
    <row r="149" spans="1:16" ht="19.5" customHeight="1">
      <c r="A149" s="1891"/>
      <c r="B149" s="1899"/>
      <c r="C149" s="110">
        <v>2019</v>
      </c>
      <c r="D149" s="37"/>
      <c r="E149" s="37"/>
      <c r="F149" s="38"/>
      <c r="G149" s="178"/>
      <c r="H149" s="178"/>
      <c r="I149" s="213">
        <f t="shared" si="13"/>
        <v>0</v>
      </c>
      <c r="J149" s="217"/>
      <c r="K149" s="218"/>
      <c r="L149" s="217"/>
      <c r="M149" s="218"/>
      <c r="N149" s="219"/>
      <c r="O149" s="165"/>
      <c r="P149" s="165"/>
    </row>
    <row r="150" spans="1:16" ht="18.75" customHeight="1">
      <c r="A150" s="1891"/>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2600" t="s">
        <v>105</v>
      </c>
      <c r="B153" s="2601" t="s">
        <v>179</v>
      </c>
      <c r="C153" s="2602" t="s">
        <v>9</v>
      </c>
      <c r="D153" s="1678" t="s">
        <v>106</v>
      </c>
      <c r="E153" s="1678"/>
      <c r="F153" s="1679"/>
      <c r="G153" s="1679"/>
      <c r="H153" s="1678" t="s">
        <v>107</v>
      </c>
      <c r="I153" s="1678"/>
      <c r="J153" s="1680"/>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1898"/>
      <c r="B155" s="1899"/>
      <c r="C155" s="233">
        <v>2014</v>
      </c>
      <c r="D155" s="214"/>
      <c r="E155" s="175"/>
      <c r="F155" s="215"/>
      <c r="G155" s="213">
        <f>SUM(D155:F155)</f>
        <v>0</v>
      </c>
      <c r="H155" s="214"/>
      <c r="I155" s="175"/>
      <c r="J155" s="176"/>
      <c r="O155" s="165"/>
      <c r="P155" s="165"/>
    </row>
    <row r="156" spans="1:16" ht="19.5" customHeight="1">
      <c r="A156" s="1891"/>
      <c r="B156" s="1899"/>
      <c r="C156" s="234">
        <v>2015</v>
      </c>
      <c r="D156" s="217"/>
      <c r="E156" s="178"/>
      <c r="F156" s="218"/>
      <c r="G156" s="213">
        <f t="shared" ref="G156:G161" si="15">SUM(D156:F156)</f>
        <v>0</v>
      </c>
      <c r="H156" s="217"/>
      <c r="I156" s="178"/>
      <c r="J156" s="179"/>
      <c r="O156" s="165"/>
      <c r="P156" s="165"/>
    </row>
    <row r="157" spans="1:16" ht="17.25" customHeight="1">
      <c r="A157" s="1891"/>
      <c r="B157" s="1899"/>
      <c r="C157" s="234">
        <v>2016</v>
      </c>
      <c r="D157" s="217"/>
      <c r="E157" s="178"/>
      <c r="F157" s="218"/>
      <c r="G157" s="213">
        <f t="shared" si="15"/>
        <v>0</v>
      </c>
      <c r="H157" s="217"/>
      <c r="I157" s="178"/>
      <c r="J157" s="179"/>
      <c r="O157" s="165"/>
      <c r="P157" s="165"/>
    </row>
    <row r="158" spans="1:16" ht="15" customHeight="1">
      <c r="A158" s="1891"/>
      <c r="B158" s="1899"/>
      <c r="C158" s="234">
        <v>2017</v>
      </c>
      <c r="D158" s="217"/>
      <c r="E158" s="178"/>
      <c r="F158" s="218"/>
      <c r="G158" s="213">
        <f t="shared" si="15"/>
        <v>0</v>
      </c>
      <c r="H158" s="217"/>
      <c r="I158" s="178"/>
      <c r="J158" s="179"/>
      <c r="O158" s="165"/>
      <c r="P158" s="165"/>
    </row>
    <row r="159" spans="1:16" ht="19.5" customHeight="1">
      <c r="A159" s="1891"/>
      <c r="B159" s="1899"/>
      <c r="C159" s="234">
        <v>2018</v>
      </c>
      <c r="D159" s="217"/>
      <c r="E159" s="178"/>
      <c r="F159" s="218"/>
      <c r="G159" s="213">
        <f t="shared" si="15"/>
        <v>0</v>
      </c>
      <c r="H159" s="217"/>
      <c r="I159" s="178"/>
      <c r="J159" s="179"/>
      <c r="O159" s="165"/>
      <c r="P159" s="165"/>
    </row>
    <row r="160" spans="1:16" ht="15" customHeight="1">
      <c r="A160" s="1891"/>
      <c r="B160" s="1899"/>
      <c r="C160" s="234">
        <v>2019</v>
      </c>
      <c r="D160" s="217"/>
      <c r="E160" s="178"/>
      <c r="F160" s="218"/>
      <c r="G160" s="213">
        <f t="shared" si="15"/>
        <v>0</v>
      </c>
      <c r="H160" s="217"/>
      <c r="I160" s="178"/>
      <c r="J160" s="179"/>
      <c r="O160" s="165"/>
      <c r="P160" s="165"/>
    </row>
    <row r="161" spans="1:18" ht="17.25" customHeight="1">
      <c r="A161" s="1891"/>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1681"/>
      <c r="F163" s="165"/>
      <c r="G163" s="165"/>
      <c r="H163" s="165"/>
      <c r="I163" s="165"/>
      <c r="J163" s="241"/>
      <c r="K163" s="242"/>
    </row>
    <row r="164" spans="1:18" ht="95.25" customHeight="1">
      <c r="A164" s="243" t="s">
        <v>115</v>
      </c>
      <c r="B164" s="405" t="s">
        <v>181</v>
      </c>
      <c r="C164" s="1567" t="s">
        <v>9</v>
      </c>
      <c r="D164" s="246" t="s">
        <v>117</v>
      </c>
      <c r="E164" s="246" t="s">
        <v>118</v>
      </c>
      <c r="F164" s="1682" t="s">
        <v>119</v>
      </c>
      <c r="G164" s="246" t="s">
        <v>120</v>
      </c>
      <c r="H164" s="246" t="s">
        <v>121</v>
      </c>
      <c r="I164" s="248" t="s">
        <v>122</v>
      </c>
      <c r="J164" s="249" t="s">
        <v>123</v>
      </c>
      <c r="K164" s="249" t="s">
        <v>124</v>
      </c>
      <c r="L164" s="1531"/>
    </row>
    <row r="165" spans="1:18" ht="15.75" customHeight="1">
      <c r="A165" s="1878"/>
      <c r="B165" s="1879"/>
      <c r="C165" s="251">
        <v>2014</v>
      </c>
      <c r="D165" s="175"/>
      <c r="E165" s="175"/>
      <c r="F165" s="175"/>
      <c r="G165" s="175"/>
      <c r="H165" s="175"/>
      <c r="I165" s="176"/>
      <c r="J165" s="1683">
        <f>SUM(D165,F165,H165)</f>
        <v>0</v>
      </c>
      <c r="K165" s="253">
        <f>SUM(E165,G165,I165)</f>
        <v>0</v>
      </c>
      <c r="L165" s="1531"/>
    </row>
    <row r="166" spans="1:18">
      <c r="A166" s="1880"/>
      <c r="B166" s="1881"/>
      <c r="C166" s="254">
        <v>2015</v>
      </c>
      <c r="D166" s="255"/>
      <c r="E166" s="255"/>
      <c r="F166" s="255"/>
      <c r="G166" s="255"/>
      <c r="H166" s="255"/>
      <c r="I166" s="256"/>
      <c r="J166" s="1684">
        <f t="shared" ref="J166:K171" si="17">SUM(D166,F166,H166)</f>
        <v>0</v>
      </c>
      <c r="K166" s="408">
        <f t="shared" si="17"/>
        <v>0</v>
      </c>
      <c r="L166" s="1531"/>
    </row>
    <row r="167" spans="1:18">
      <c r="A167" s="1880"/>
      <c r="B167" s="1881"/>
      <c r="C167" s="254">
        <v>2016</v>
      </c>
      <c r="D167" s="255"/>
      <c r="E167" s="255"/>
      <c r="F167" s="255"/>
      <c r="G167" s="255"/>
      <c r="H167" s="255"/>
      <c r="I167" s="256"/>
      <c r="J167" s="1684">
        <f t="shared" si="17"/>
        <v>0</v>
      </c>
      <c r="K167" s="408">
        <f t="shared" si="17"/>
        <v>0</v>
      </c>
    </row>
    <row r="168" spans="1:18">
      <c r="A168" s="1880"/>
      <c r="B168" s="1881"/>
      <c r="C168" s="254">
        <v>2017</v>
      </c>
      <c r="D168" s="255"/>
      <c r="E168" s="165"/>
      <c r="F168" s="255"/>
      <c r="G168" s="255"/>
      <c r="H168" s="255"/>
      <c r="I168" s="256"/>
      <c r="J168" s="1684">
        <f t="shared" si="17"/>
        <v>0</v>
      </c>
      <c r="K168" s="408">
        <f t="shared" si="17"/>
        <v>0</v>
      </c>
    </row>
    <row r="169" spans="1:18">
      <c r="A169" s="1880"/>
      <c r="B169" s="1881"/>
      <c r="C169" s="262">
        <v>2018</v>
      </c>
      <c r="D169" s="255"/>
      <c r="E169" s="255"/>
      <c r="F169" s="255"/>
      <c r="G169" s="263"/>
      <c r="H169" s="255"/>
      <c r="I169" s="256"/>
      <c r="J169" s="1684">
        <f t="shared" si="17"/>
        <v>0</v>
      </c>
      <c r="K169" s="408">
        <f t="shared" si="17"/>
        <v>0</v>
      </c>
      <c r="L169" s="1531"/>
    </row>
    <row r="170" spans="1:18">
      <c r="A170" s="1880"/>
      <c r="B170" s="1881"/>
      <c r="C170" s="254">
        <v>2019</v>
      </c>
      <c r="D170" s="165"/>
      <c r="E170" s="255"/>
      <c r="F170" s="255"/>
      <c r="G170" s="255"/>
      <c r="H170" s="263"/>
      <c r="I170" s="256"/>
      <c r="J170" s="1684">
        <f t="shared" si="17"/>
        <v>0</v>
      </c>
      <c r="K170" s="408">
        <f t="shared" si="17"/>
        <v>0</v>
      </c>
      <c r="L170" s="1531"/>
    </row>
    <row r="171" spans="1:18">
      <c r="A171" s="1880"/>
      <c r="B171" s="1881"/>
      <c r="C171" s="262">
        <v>2020</v>
      </c>
      <c r="D171" s="255"/>
      <c r="E171" s="255"/>
      <c r="F171" s="255"/>
      <c r="G171" s="255"/>
      <c r="H171" s="255"/>
      <c r="I171" s="256"/>
      <c r="J171" s="1684">
        <f t="shared" si="17"/>
        <v>0</v>
      </c>
      <c r="K171" s="408">
        <f t="shared" si="17"/>
        <v>0</v>
      </c>
      <c r="L171" s="1531"/>
    </row>
    <row r="172" spans="1:18" ht="41.25" customHeight="1" thickBot="1">
      <c r="A172" s="1882"/>
      <c r="B172" s="1883"/>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1531"/>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503" t="s">
        <v>127</v>
      </c>
      <c r="B176" s="2585" t="s">
        <v>182</v>
      </c>
      <c r="C176" s="2590" t="s">
        <v>9</v>
      </c>
      <c r="D176" s="273" t="s">
        <v>128</v>
      </c>
      <c r="E176" s="1685"/>
      <c r="F176" s="1685"/>
      <c r="G176" s="1686"/>
      <c r="H176" s="276"/>
      <c r="I176" s="1888" t="s">
        <v>129</v>
      </c>
      <c r="J176" s="2591"/>
      <c r="K176" s="2591"/>
      <c r="L176" s="2591"/>
      <c r="M176" s="2591"/>
      <c r="N176" s="2591"/>
      <c r="O176" s="2592"/>
    </row>
    <row r="177" spans="1:15" s="56" customFormat="1" ht="129.75" customHeight="1">
      <c r="A177" s="2469"/>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2593" t="s">
        <v>466</v>
      </c>
      <c r="B178" s="2594"/>
      <c r="C178" s="106">
        <v>2014</v>
      </c>
      <c r="D178" s="30"/>
      <c r="E178" s="31"/>
      <c r="F178" s="31"/>
      <c r="G178" s="284">
        <f>SUM(D178:F178)</f>
        <v>0</v>
      </c>
      <c r="H178" s="155"/>
      <c r="I178" s="155"/>
      <c r="J178" s="31"/>
      <c r="K178" s="31"/>
      <c r="L178" s="31"/>
      <c r="M178" s="31"/>
      <c r="N178" s="31"/>
      <c r="O178" s="34"/>
    </row>
    <row r="179" spans="1:15">
      <c r="A179" s="2593"/>
      <c r="B179" s="2594"/>
      <c r="C179" s="110">
        <v>2015</v>
      </c>
      <c r="D179" s="37">
        <v>17</v>
      </c>
      <c r="E179" s="38"/>
      <c r="F179" s="38"/>
      <c r="G179" s="284">
        <f t="shared" ref="G179:G184" si="19">SUM(D179:F179)</f>
        <v>17</v>
      </c>
      <c r="H179" s="411">
        <v>17</v>
      </c>
      <c r="I179" s="112">
        <v>14</v>
      </c>
      <c r="J179" s="38">
        <v>3</v>
      </c>
      <c r="K179" s="38"/>
      <c r="L179" s="38"/>
      <c r="M179" s="38"/>
      <c r="N179" s="38"/>
      <c r="O179" s="88"/>
    </row>
    <row r="180" spans="1:15">
      <c r="A180" s="2593"/>
      <c r="B180" s="2594"/>
      <c r="C180" s="110">
        <v>2016</v>
      </c>
      <c r="D180" s="37">
        <v>57</v>
      </c>
      <c r="E180" s="38">
        <v>1</v>
      </c>
      <c r="F180" s="38"/>
      <c r="G180" s="284">
        <f t="shared" si="19"/>
        <v>58</v>
      </c>
      <c r="H180" s="411">
        <v>44</v>
      </c>
      <c r="I180" s="112">
        <v>56</v>
      </c>
      <c r="J180" s="38">
        <v>2</v>
      </c>
      <c r="K180" s="38"/>
      <c r="L180" s="38"/>
      <c r="M180" s="38"/>
      <c r="N180" s="38"/>
      <c r="O180" s="88"/>
    </row>
    <row r="181" spans="1:15">
      <c r="A181" s="2593"/>
      <c r="B181" s="2594"/>
      <c r="C181" s="110">
        <v>2017</v>
      </c>
      <c r="D181" s="37">
        <v>53</v>
      </c>
      <c r="E181" s="38">
        <v>5</v>
      </c>
      <c r="F181" s="38"/>
      <c r="G181" s="284">
        <f t="shared" si="19"/>
        <v>58</v>
      </c>
      <c r="H181" s="411">
        <v>61</v>
      </c>
      <c r="I181" s="112">
        <v>24</v>
      </c>
      <c r="J181" s="38">
        <v>34</v>
      </c>
      <c r="K181" s="38"/>
      <c r="L181" s="38"/>
      <c r="M181" s="38"/>
      <c r="N181" s="38"/>
      <c r="O181" s="88"/>
    </row>
    <row r="182" spans="1:15">
      <c r="A182" s="2593"/>
      <c r="B182" s="2594"/>
      <c r="C182" s="110">
        <v>2018</v>
      </c>
      <c r="D182" s="37"/>
      <c r="E182" s="38"/>
      <c r="F182" s="38"/>
      <c r="G182" s="284">
        <f t="shared" si="19"/>
        <v>0</v>
      </c>
      <c r="H182" s="411"/>
      <c r="I182" s="112"/>
      <c r="J182" s="38"/>
      <c r="K182" s="38"/>
      <c r="L182" s="38"/>
      <c r="M182" s="38"/>
      <c r="N182" s="38"/>
      <c r="O182" s="88"/>
    </row>
    <row r="183" spans="1:15">
      <c r="A183" s="2593"/>
      <c r="B183" s="2594"/>
      <c r="C183" s="110">
        <v>2019</v>
      </c>
      <c r="D183" s="37"/>
      <c r="E183" s="38"/>
      <c r="F183" s="38"/>
      <c r="G183" s="284">
        <f t="shared" si="19"/>
        <v>0</v>
      </c>
      <c r="H183" s="411"/>
      <c r="I183" s="112"/>
      <c r="J183" s="38"/>
      <c r="K183" s="38"/>
      <c r="L183" s="38"/>
      <c r="M183" s="38"/>
      <c r="N183" s="38"/>
      <c r="O183" s="88"/>
    </row>
    <row r="184" spans="1:15">
      <c r="A184" s="2593"/>
      <c r="B184" s="2594"/>
      <c r="C184" s="110">
        <v>2020</v>
      </c>
      <c r="D184" s="37"/>
      <c r="E184" s="38"/>
      <c r="F184" s="38"/>
      <c r="G184" s="284">
        <f t="shared" si="19"/>
        <v>0</v>
      </c>
      <c r="H184" s="411"/>
      <c r="I184" s="112"/>
      <c r="J184" s="38"/>
      <c r="K184" s="38"/>
      <c r="L184" s="38"/>
      <c r="M184" s="38"/>
      <c r="N184" s="38"/>
      <c r="O184" s="88"/>
    </row>
    <row r="185" spans="1:15" ht="69" customHeight="1" thickBot="1">
      <c r="A185" s="2595"/>
      <c r="B185" s="2596"/>
      <c r="C185" s="113" t="s">
        <v>13</v>
      </c>
      <c r="D185" s="139">
        <f>SUM(D178:D184)</f>
        <v>127</v>
      </c>
      <c r="E185" s="116">
        <f>SUM(E178:E184)</f>
        <v>6</v>
      </c>
      <c r="F185" s="116">
        <f>SUM(F178:F184)</f>
        <v>0</v>
      </c>
      <c r="G185" s="220">
        <f t="shared" ref="G185:O185" si="20">SUM(G178:G184)</f>
        <v>133</v>
      </c>
      <c r="H185" s="285">
        <f t="shared" si="20"/>
        <v>122</v>
      </c>
      <c r="I185" s="115">
        <f t="shared" si="20"/>
        <v>94</v>
      </c>
      <c r="J185" s="116">
        <f t="shared" si="20"/>
        <v>39</v>
      </c>
      <c r="K185" s="116">
        <f t="shared" si="20"/>
        <v>0</v>
      </c>
      <c r="L185" s="116">
        <f t="shared" si="20"/>
        <v>0</v>
      </c>
      <c r="M185" s="116">
        <f t="shared" si="20"/>
        <v>0</v>
      </c>
      <c r="N185" s="116">
        <f t="shared" si="20"/>
        <v>0</v>
      </c>
      <c r="O185" s="117">
        <f t="shared" si="20"/>
        <v>0</v>
      </c>
    </row>
    <row r="186" spans="1:15" ht="33" customHeight="1" thickBot="1"/>
    <row r="187" spans="1:15" ht="19.5" customHeight="1">
      <c r="A187" s="1861" t="s">
        <v>137</v>
      </c>
      <c r="B187" s="2585" t="s">
        <v>182</v>
      </c>
      <c r="C187" s="1865" t="s">
        <v>9</v>
      </c>
      <c r="D187" s="1867" t="s">
        <v>138</v>
      </c>
      <c r="E187" s="2586"/>
      <c r="F187" s="2586"/>
      <c r="G187" s="1869"/>
      <c r="H187" s="1870"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2587" t="s">
        <v>467</v>
      </c>
      <c r="B189" s="1977" t="s">
        <v>468</v>
      </c>
      <c r="C189" s="290">
        <v>2014</v>
      </c>
      <c r="D189" s="133"/>
      <c r="E189" s="109"/>
      <c r="F189" s="109"/>
      <c r="G189" s="291">
        <f>SUM(D189:F189)</f>
        <v>0</v>
      </c>
      <c r="H189" s="108"/>
      <c r="I189" s="109"/>
      <c r="J189" s="109"/>
      <c r="K189" s="109"/>
      <c r="L189" s="134"/>
    </row>
    <row r="190" spans="1:15">
      <c r="A190" s="2588"/>
      <c r="B190" s="1855"/>
      <c r="C190" s="73">
        <v>2015</v>
      </c>
      <c r="D190" s="37">
        <v>239</v>
      </c>
      <c r="E190" s="38"/>
      <c r="F190" s="38"/>
      <c r="G190" s="291">
        <f t="shared" ref="G190:G195" si="21">SUM(D190:F190)</f>
        <v>239</v>
      </c>
      <c r="H190" s="112"/>
      <c r="I190" s="38"/>
      <c r="J190" s="38"/>
      <c r="K190" s="38">
        <v>20</v>
      </c>
      <c r="L190" s="88">
        <v>219</v>
      </c>
    </row>
    <row r="191" spans="1:15">
      <c r="A191" s="2588"/>
      <c r="B191" s="1855"/>
      <c r="C191" s="73">
        <v>2016</v>
      </c>
      <c r="D191" s="37">
        <v>744</v>
      </c>
      <c r="E191" s="38"/>
      <c r="F191" s="38"/>
      <c r="G191" s="291">
        <f t="shared" si="21"/>
        <v>744</v>
      </c>
      <c r="H191" s="112"/>
      <c r="I191" s="38">
        <v>22</v>
      </c>
      <c r="J191" s="38">
        <v>168</v>
      </c>
      <c r="K191" s="38"/>
      <c r="L191" s="88">
        <v>554</v>
      </c>
    </row>
    <row r="192" spans="1:15">
      <c r="A192" s="2588"/>
      <c r="B192" s="1855"/>
      <c r="C192" s="73">
        <v>2017</v>
      </c>
      <c r="D192" s="37">
        <v>846</v>
      </c>
      <c r="E192" s="38"/>
      <c r="F192" s="38"/>
      <c r="G192" s="291">
        <f t="shared" si="21"/>
        <v>846</v>
      </c>
      <c r="H192" s="112"/>
      <c r="I192" s="38">
        <v>6</v>
      </c>
      <c r="J192" s="38">
        <v>52</v>
      </c>
      <c r="K192" s="38"/>
      <c r="L192" s="88">
        <v>788</v>
      </c>
    </row>
    <row r="193" spans="1:14">
      <c r="A193" s="2588"/>
      <c r="B193" s="1855"/>
      <c r="C193" s="73">
        <v>2018</v>
      </c>
      <c r="D193" s="37"/>
      <c r="E193" s="38"/>
      <c r="F193" s="38"/>
      <c r="G193" s="291">
        <f t="shared" si="21"/>
        <v>0</v>
      </c>
      <c r="H193" s="112"/>
      <c r="I193" s="38"/>
      <c r="J193" s="38"/>
      <c r="K193" s="38"/>
      <c r="L193" s="88"/>
    </row>
    <row r="194" spans="1:14">
      <c r="A194" s="2588"/>
      <c r="B194" s="1855"/>
      <c r="C194" s="73">
        <v>2019</v>
      </c>
      <c r="D194" s="37"/>
      <c r="E194" s="38"/>
      <c r="F194" s="38"/>
      <c r="G194" s="291">
        <f t="shared" si="21"/>
        <v>0</v>
      </c>
      <c r="H194" s="112"/>
      <c r="I194" s="38"/>
      <c r="J194" s="38"/>
      <c r="K194" s="38"/>
      <c r="L194" s="88"/>
    </row>
    <row r="195" spans="1:14">
      <c r="A195" s="2588"/>
      <c r="B195" s="1855"/>
      <c r="C195" s="73">
        <v>2020</v>
      </c>
      <c r="D195" s="37"/>
      <c r="E195" s="38"/>
      <c r="F195" s="38"/>
      <c r="G195" s="291">
        <f t="shared" si="21"/>
        <v>0</v>
      </c>
      <c r="H195" s="112"/>
      <c r="I195" s="38"/>
      <c r="J195" s="38"/>
      <c r="K195" s="38"/>
      <c r="L195" s="88"/>
    </row>
    <row r="196" spans="1:14" ht="74.25" customHeight="1" thickBot="1">
      <c r="A196" s="2589"/>
      <c r="B196" s="1857"/>
      <c r="C196" s="136" t="s">
        <v>13</v>
      </c>
      <c r="D196" s="139">
        <f t="shared" ref="D196:L196" si="22">SUM(D189:D195)</f>
        <v>1829</v>
      </c>
      <c r="E196" s="116">
        <f t="shared" si="22"/>
        <v>0</v>
      </c>
      <c r="F196" s="116">
        <f t="shared" si="22"/>
        <v>0</v>
      </c>
      <c r="G196" s="292">
        <f t="shared" si="22"/>
        <v>1829</v>
      </c>
      <c r="H196" s="115">
        <f t="shared" si="22"/>
        <v>0</v>
      </c>
      <c r="I196" s="116">
        <f t="shared" si="22"/>
        <v>28</v>
      </c>
      <c r="J196" s="116">
        <f t="shared" si="22"/>
        <v>220</v>
      </c>
      <c r="K196" s="116">
        <f t="shared" si="22"/>
        <v>20</v>
      </c>
      <c r="L196" s="117">
        <f t="shared" si="22"/>
        <v>1561</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1687" t="s">
        <v>150</v>
      </c>
      <c r="B201" s="417" t="s">
        <v>182</v>
      </c>
      <c r="C201" s="298" t="s">
        <v>9</v>
      </c>
      <c r="D201" s="299" t="s">
        <v>151</v>
      </c>
      <c r="E201" s="300" t="s">
        <v>152</v>
      </c>
      <c r="F201" s="300" t="s">
        <v>153</v>
      </c>
      <c r="G201" s="298" t="s">
        <v>154</v>
      </c>
      <c r="H201" s="1688" t="s">
        <v>155</v>
      </c>
      <c r="I201" s="302" t="s">
        <v>156</v>
      </c>
      <c r="J201" s="303" t="s">
        <v>157</v>
      </c>
      <c r="K201" s="300" t="s">
        <v>158</v>
      </c>
      <c r="L201" s="304" t="s">
        <v>159</v>
      </c>
    </row>
    <row r="202" spans="1:14" ht="15" customHeight="1">
      <c r="A202" s="1854"/>
      <c r="B202" s="1855"/>
      <c r="C202" s="72">
        <v>2014</v>
      </c>
      <c r="D202" s="30"/>
      <c r="E202" s="31"/>
      <c r="F202" s="31"/>
      <c r="G202" s="29"/>
      <c r="H202" s="305"/>
      <c r="I202" s="306"/>
      <c r="J202" s="307"/>
      <c r="K202" s="31"/>
      <c r="L202" s="34"/>
    </row>
    <row r="203" spans="1:14">
      <c r="A203" s="1854"/>
      <c r="B203" s="1855"/>
      <c r="C203" s="73">
        <v>2015</v>
      </c>
      <c r="D203" s="37"/>
      <c r="E203" s="38"/>
      <c r="F203" s="38"/>
      <c r="G203" s="36"/>
      <c r="H203" s="308"/>
      <c r="I203" s="309"/>
      <c r="J203" s="310"/>
      <c r="K203" s="38"/>
      <c r="L203" s="88"/>
    </row>
    <row r="204" spans="1:14">
      <c r="A204" s="1854"/>
      <c r="B204" s="1855"/>
      <c r="C204" s="73">
        <v>2016</v>
      </c>
      <c r="D204" s="37"/>
      <c r="E204" s="38"/>
      <c r="F204" s="38"/>
      <c r="G204" s="36"/>
      <c r="H204" s="308"/>
      <c r="I204" s="309"/>
      <c r="J204" s="310"/>
      <c r="K204" s="38"/>
      <c r="L204" s="88"/>
    </row>
    <row r="205" spans="1:14">
      <c r="A205" s="1854"/>
      <c r="B205" s="1855"/>
      <c r="C205" s="73">
        <v>2017</v>
      </c>
      <c r="D205" s="37"/>
      <c r="E205" s="38"/>
      <c r="F205" s="38"/>
      <c r="G205" s="36"/>
      <c r="H205" s="308"/>
      <c r="I205" s="309"/>
      <c r="J205" s="310"/>
      <c r="K205" s="38"/>
      <c r="L205" s="88"/>
    </row>
    <row r="206" spans="1:14">
      <c r="A206" s="1854"/>
      <c r="B206" s="1855"/>
      <c r="C206" s="73">
        <v>2018</v>
      </c>
      <c r="D206" s="37"/>
      <c r="E206" s="38"/>
      <c r="F206" s="38"/>
      <c r="G206" s="36"/>
      <c r="H206" s="308"/>
      <c r="I206" s="309"/>
      <c r="J206" s="310"/>
      <c r="K206" s="38"/>
      <c r="L206" s="88"/>
    </row>
    <row r="207" spans="1:14">
      <c r="A207" s="1854"/>
      <c r="B207" s="1855"/>
      <c r="C207" s="73">
        <v>2019</v>
      </c>
      <c r="D207" s="37"/>
      <c r="E207" s="38"/>
      <c r="F207" s="38"/>
      <c r="G207" s="36"/>
      <c r="H207" s="308"/>
      <c r="I207" s="309"/>
      <c r="J207" s="310"/>
      <c r="K207" s="38"/>
      <c r="L207" s="88"/>
    </row>
    <row r="208" spans="1:14">
      <c r="A208" s="1854"/>
      <c r="B208" s="1855"/>
      <c r="C208" s="73">
        <v>2020</v>
      </c>
      <c r="D208" s="1533"/>
      <c r="E208" s="312"/>
      <c r="F208" s="312"/>
      <c r="G208" s="313"/>
      <c r="H208" s="314"/>
      <c r="I208" s="315"/>
      <c r="J208" s="316"/>
      <c r="K208" s="312"/>
      <c r="L208" s="317"/>
    </row>
    <row r="209" spans="1:12" ht="20.25" customHeight="1" thickBot="1">
      <c r="A209" s="1856"/>
      <c r="B209" s="1857"/>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0</v>
      </c>
      <c r="K209" s="139">
        <f t="shared" si="23"/>
        <v>0</v>
      </c>
      <c r="L209" s="139">
        <f t="shared" si="23"/>
        <v>0</v>
      </c>
    </row>
    <row r="211" spans="1:12" ht="15.75" thickBot="1"/>
    <row r="212" spans="1:12" ht="29.25">
      <c r="A212" s="1689" t="s">
        <v>161</v>
      </c>
      <c r="B212" s="322" t="s">
        <v>162</v>
      </c>
      <c r="C212" s="323">
        <v>2014</v>
      </c>
      <c r="D212" s="324">
        <v>2015</v>
      </c>
      <c r="E212" s="324">
        <v>2016</v>
      </c>
      <c r="F212" s="324">
        <v>2017</v>
      </c>
      <c r="G212" s="324">
        <v>2018</v>
      </c>
      <c r="H212" s="324">
        <v>2019</v>
      </c>
      <c r="I212" s="325">
        <v>2020</v>
      </c>
    </row>
    <row r="213" spans="1:12" ht="15" customHeight="1">
      <c r="A213" t="s">
        <v>163</v>
      </c>
      <c r="B213" s="1973" t="s">
        <v>469</v>
      </c>
      <c r="C213" s="72"/>
      <c r="D213" s="1690">
        <f>SUM(D214:D217)</f>
        <v>10298.51</v>
      </c>
      <c r="E213" s="1690">
        <f>SUM(E214:E217)</f>
        <v>97421.239999999991</v>
      </c>
      <c r="F213" s="1690">
        <f>SUM(F214:F217)</f>
        <v>192203.14</v>
      </c>
      <c r="G213" s="135"/>
      <c r="H213" s="135"/>
      <c r="I213" s="326"/>
    </row>
    <row r="214" spans="1:12">
      <c r="A214" t="s">
        <v>164</v>
      </c>
      <c r="B214" s="1974"/>
      <c r="C214" s="72"/>
      <c r="D214" s="135"/>
      <c r="E214" s="135">
        <v>50628.03</v>
      </c>
      <c r="F214" s="135"/>
      <c r="G214" s="135"/>
      <c r="H214" s="135"/>
      <c r="I214" s="326"/>
    </row>
    <row r="215" spans="1:12">
      <c r="A215" t="s">
        <v>165</v>
      </c>
      <c r="B215" s="1974"/>
      <c r="C215" s="72"/>
      <c r="D215" s="135"/>
      <c r="E215" s="135">
        <v>0</v>
      </c>
      <c r="F215" s="135"/>
      <c r="G215" s="135"/>
      <c r="H215" s="135"/>
      <c r="I215" s="326"/>
    </row>
    <row r="216" spans="1:12">
      <c r="A216" t="s">
        <v>166</v>
      </c>
      <c r="B216" s="1974"/>
      <c r="C216" s="72"/>
      <c r="D216" s="135"/>
      <c r="E216" s="135">
        <v>0</v>
      </c>
      <c r="F216" s="135"/>
      <c r="G216" s="135"/>
      <c r="H216" s="135"/>
      <c r="I216" s="326"/>
    </row>
    <row r="217" spans="1:12">
      <c r="A217" t="s">
        <v>167</v>
      </c>
      <c r="B217" s="1974"/>
      <c r="C217" s="72"/>
      <c r="D217" s="135">
        <v>10298.51</v>
      </c>
      <c r="E217" s="135">
        <v>46793.21</v>
      </c>
      <c r="F217" s="135">
        <v>192203.14</v>
      </c>
      <c r="G217" s="135"/>
      <c r="H217" s="135"/>
      <c r="I217" s="326"/>
    </row>
    <row r="218" spans="1:12" ht="30">
      <c r="A218" s="56" t="s">
        <v>168</v>
      </c>
      <c r="B218" s="1974"/>
      <c r="C218" s="72"/>
      <c r="D218" s="135">
        <v>92987.95</v>
      </c>
      <c r="E218" s="135">
        <v>145053.96</v>
      </c>
      <c r="F218" s="135">
        <v>155419.72</v>
      </c>
      <c r="G218" s="135"/>
      <c r="H218" s="135"/>
      <c r="I218" s="326"/>
    </row>
    <row r="219" spans="1:12" ht="15.75" thickBot="1">
      <c r="A219" s="1532"/>
      <c r="B219" s="1975"/>
      <c r="C219" s="42" t="s">
        <v>13</v>
      </c>
      <c r="D219" s="333">
        <f>SUM(D214:D218)</f>
        <v>103286.45999999999</v>
      </c>
      <c r="E219" s="333">
        <f>SUM(E214:E218)</f>
        <v>242475.19999999998</v>
      </c>
      <c r="F219" s="333">
        <f t="shared" ref="F219:I219" si="24">SUM(F214:F218)</f>
        <v>347622.86</v>
      </c>
      <c r="G219" s="333">
        <f t="shared" si="24"/>
        <v>0</v>
      </c>
      <c r="H219" s="333">
        <f t="shared" si="24"/>
        <v>0</v>
      </c>
      <c r="I219" s="333">
        <f t="shared" si="24"/>
        <v>0</v>
      </c>
    </row>
    <row r="227" spans="1:1">
      <c r="A227" s="56"/>
    </row>
  </sheetData>
  <mergeCells count="57">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A196"/>
    <mergeCell ref="B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7"/>
  <sheetViews>
    <sheetView topLeftCell="A13" workbookViewId="0">
      <selection activeCell="D219" sqref="D219:F219"/>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529" t="s">
        <v>470</v>
      </c>
      <c r="C1" s="1530"/>
      <c r="D1" s="1530"/>
      <c r="E1" s="1530"/>
      <c r="F1" s="1530"/>
    </row>
    <row r="2" spans="1:25" s="1" customFormat="1" ht="20.100000000000001" customHeight="1" thickBot="1"/>
    <row r="3" spans="1:25" s="4" customFormat="1" ht="20.100000000000001" customHeight="1">
      <c r="A3" s="1536" t="s">
        <v>2</v>
      </c>
      <c r="B3" s="1585"/>
      <c r="C3" s="1585"/>
      <c r="D3" s="1585"/>
      <c r="E3" s="1585"/>
      <c r="F3" s="2418"/>
      <c r="G3" s="2418"/>
      <c r="H3" s="2418"/>
      <c r="I3" s="2418"/>
      <c r="J3" s="2418"/>
      <c r="K3" s="2418"/>
      <c r="L3" s="2418"/>
      <c r="M3" s="2418"/>
      <c r="N3" s="2418"/>
      <c r="O3" s="2522"/>
    </row>
    <row r="4" spans="1:25" s="4" customFormat="1" ht="20.100000000000001" customHeight="1">
      <c r="A4" s="2420" t="s">
        <v>170</v>
      </c>
      <c r="B4" s="1948"/>
      <c r="C4" s="1948"/>
      <c r="D4" s="1948"/>
      <c r="E4" s="1948"/>
      <c r="F4" s="1948"/>
      <c r="G4" s="1948"/>
      <c r="H4" s="1948"/>
      <c r="I4" s="1948"/>
      <c r="J4" s="1948"/>
      <c r="K4" s="1948"/>
      <c r="L4" s="1948"/>
      <c r="M4" s="1948"/>
      <c r="N4" s="1948"/>
      <c r="O4" s="1949"/>
    </row>
    <row r="5" spans="1:25" s="4" customFormat="1" ht="20.100000000000001" customHeight="1">
      <c r="A5" s="2420"/>
      <c r="B5" s="1948"/>
      <c r="C5" s="1948"/>
      <c r="D5" s="1948"/>
      <c r="E5" s="1948"/>
      <c r="F5" s="1948"/>
      <c r="G5" s="1948"/>
      <c r="H5" s="1948"/>
      <c r="I5" s="1948"/>
      <c r="J5" s="1948"/>
      <c r="K5" s="1948"/>
      <c r="L5" s="1948"/>
      <c r="M5" s="1948"/>
      <c r="N5" s="1948"/>
      <c r="O5" s="1949"/>
    </row>
    <row r="6" spans="1:25" s="4" customFormat="1" ht="20.100000000000001" customHeight="1">
      <c r="A6" s="2420"/>
      <c r="B6" s="1948"/>
      <c r="C6" s="1948"/>
      <c r="D6" s="1948"/>
      <c r="E6" s="1948"/>
      <c r="F6" s="1948"/>
      <c r="G6" s="1948"/>
      <c r="H6" s="1948"/>
      <c r="I6" s="1948"/>
      <c r="J6" s="1948"/>
      <c r="K6" s="1948"/>
      <c r="L6" s="1948"/>
      <c r="M6" s="1948"/>
      <c r="N6" s="1948"/>
      <c r="O6" s="1949"/>
    </row>
    <row r="7" spans="1:25" s="4" customFormat="1" ht="20.100000000000001" customHeight="1">
      <c r="A7" s="2420"/>
      <c r="B7" s="1948"/>
      <c r="C7" s="1948"/>
      <c r="D7" s="1948"/>
      <c r="E7" s="1948"/>
      <c r="F7" s="1948"/>
      <c r="G7" s="1948"/>
      <c r="H7" s="1948"/>
      <c r="I7" s="1948"/>
      <c r="J7" s="1948"/>
      <c r="K7" s="1948"/>
      <c r="L7" s="1948"/>
      <c r="M7" s="1948"/>
      <c r="N7" s="1948"/>
      <c r="O7" s="1949"/>
    </row>
    <row r="8" spans="1:25" s="4" customFormat="1" ht="20.100000000000001" customHeight="1">
      <c r="A8" s="2420"/>
      <c r="B8" s="1948"/>
      <c r="C8" s="1948"/>
      <c r="D8" s="1948"/>
      <c r="E8" s="1948"/>
      <c r="F8" s="1948"/>
      <c r="G8" s="1948"/>
      <c r="H8" s="1948"/>
      <c r="I8" s="1948"/>
      <c r="J8" s="1948"/>
      <c r="K8" s="1948"/>
      <c r="L8" s="1948"/>
      <c r="M8" s="1948"/>
      <c r="N8" s="1948"/>
      <c r="O8" s="1949"/>
    </row>
    <row r="9" spans="1:25" s="4" customFormat="1" ht="20.100000000000001" customHeight="1">
      <c r="A9" s="2420"/>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1659"/>
      <c r="B15" s="516"/>
      <c r="C15" s="10"/>
      <c r="D15" s="1953" t="s">
        <v>5</v>
      </c>
      <c r="E15" s="2012"/>
      <c r="F15" s="2012"/>
      <c r="G15" s="2012"/>
      <c r="H15" s="11"/>
      <c r="I15" s="12" t="s">
        <v>6</v>
      </c>
      <c r="J15" s="13"/>
      <c r="K15" s="13"/>
      <c r="L15" s="13"/>
      <c r="M15" s="13"/>
      <c r="N15" s="13"/>
      <c r="O15" s="14"/>
      <c r="P15" s="15"/>
      <c r="Q15" s="16"/>
      <c r="R15" s="17"/>
      <c r="S15" s="17"/>
      <c r="T15" s="17"/>
      <c r="U15" s="17"/>
      <c r="V15" s="17"/>
      <c r="W15" s="15"/>
      <c r="X15" s="15"/>
      <c r="Y15" s="16"/>
    </row>
    <row r="16" spans="1:25" s="56" customFormat="1" ht="129" customHeight="1">
      <c r="A16" s="1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1874"/>
      <c r="B17" s="1855"/>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1854"/>
      <c r="B18" s="1855"/>
      <c r="C18" s="36">
        <v>2015</v>
      </c>
      <c r="D18" s="37">
        <v>1</v>
      </c>
      <c r="E18" s="38"/>
      <c r="F18" s="38"/>
      <c r="G18" s="32">
        <f>SUM(D18:F18)</f>
        <v>1</v>
      </c>
      <c r="H18" s="39"/>
      <c r="I18" s="38">
        <v>1</v>
      </c>
      <c r="J18" s="38"/>
      <c r="K18" s="38"/>
      <c r="L18" s="38"/>
      <c r="M18" s="38"/>
      <c r="N18" s="38"/>
      <c r="O18" s="40"/>
      <c r="P18" s="35"/>
      <c r="Q18" s="35"/>
      <c r="R18" s="35"/>
      <c r="S18" s="35"/>
      <c r="T18" s="35"/>
      <c r="U18" s="35"/>
      <c r="V18" s="35"/>
      <c r="W18" s="35"/>
      <c r="X18" s="35"/>
      <c r="Y18" s="35"/>
    </row>
    <row r="19" spans="1:25">
      <c r="A19" s="1854"/>
      <c r="B19" s="1855"/>
      <c r="C19" s="36">
        <v>2016</v>
      </c>
      <c r="D19" s="37">
        <v>21</v>
      </c>
      <c r="E19" s="38"/>
      <c r="F19" s="38"/>
      <c r="G19" s="32">
        <f t="shared" si="0"/>
        <v>21</v>
      </c>
      <c r="H19" s="39">
        <v>20</v>
      </c>
      <c r="I19" s="38">
        <v>1</v>
      </c>
      <c r="J19" s="38"/>
      <c r="K19" s="38"/>
      <c r="L19" s="38"/>
      <c r="M19" s="38"/>
      <c r="N19" s="38"/>
      <c r="O19" s="40"/>
      <c r="P19" s="35"/>
      <c r="Q19" s="35"/>
      <c r="R19" s="35"/>
      <c r="S19" s="35"/>
      <c r="T19" s="35"/>
      <c r="U19" s="35"/>
      <c r="V19" s="35"/>
      <c r="W19" s="35"/>
      <c r="X19" s="35"/>
      <c r="Y19" s="35"/>
    </row>
    <row r="20" spans="1:25">
      <c r="A20" s="1854"/>
      <c r="B20" s="1855"/>
      <c r="C20" s="36">
        <v>2017</v>
      </c>
      <c r="D20" s="37">
        <v>5</v>
      </c>
      <c r="E20" s="38"/>
      <c r="F20" s="38"/>
      <c r="G20" s="32">
        <f t="shared" si="0"/>
        <v>5</v>
      </c>
      <c r="H20" s="39">
        <v>5</v>
      </c>
      <c r="I20" s="38"/>
      <c r="J20" s="38"/>
      <c r="K20" s="38"/>
      <c r="L20" s="38"/>
      <c r="M20" s="38"/>
      <c r="N20" s="38"/>
      <c r="O20" s="40"/>
      <c r="P20" s="35"/>
      <c r="Q20" s="35"/>
      <c r="R20" s="35"/>
      <c r="S20" s="35"/>
      <c r="T20" s="35"/>
      <c r="U20" s="35"/>
      <c r="V20" s="35"/>
      <c r="W20" s="35"/>
      <c r="X20" s="35"/>
      <c r="Y20" s="35"/>
    </row>
    <row r="21" spans="1:25">
      <c r="A21" s="1854"/>
      <c r="B21" s="1855"/>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1854"/>
      <c r="B22" s="1855"/>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1854"/>
      <c r="B23" s="1855"/>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19.5" customHeight="1" thickBot="1">
      <c r="A24" s="1856"/>
      <c r="B24" s="1857"/>
      <c r="C24" s="42" t="s">
        <v>13</v>
      </c>
      <c r="D24" s="43">
        <f>SUM(D17:D23)</f>
        <v>27</v>
      </c>
      <c r="E24" s="44">
        <f>SUM(E17:E23)</f>
        <v>0</v>
      </c>
      <c r="F24" s="44">
        <f>SUM(F17:F23)</f>
        <v>0</v>
      </c>
      <c r="G24" s="45">
        <f>SUM(D24:F24)</f>
        <v>27</v>
      </c>
      <c r="H24" s="46">
        <f>SUM(H17:H23)</f>
        <v>25</v>
      </c>
      <c r="I24" s="47">
        <f>SUM(I17:I23)</f>
        <v>2</v>
      </c>
      <c r="J24" s="47">
        <f t="shared" ref="J24:N24" si="1">SUM(J17:J23)</f>
        <v>0</v>
      </c>
      <c r="K24" s="47">
        <f t="shared" si="1"/>
        <v>0</v>
      </c>
      <c r="L24" s="47">
        <f t="shared" si="1"/>
        <v>0</v>
      </c>
      <c r="M24" s="47">
        <f t="shared" si="1"/>
        <v>0</v>
      </c>
      <c r="N24" s="47">
        <f t="shared" si="1"/>
        <v>0</v>
      </c>
      <c r="O24" s="48">
        <f>SUM(O17:O23)</f>
        <v>0</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1659"/>
      <c r="B26" s="516"/>
      <c r="C26" s="50"/>
      <c r="D26" s="1959" t="s">
        <v>5</v>
      </c>
      <c r="E26" s="2071"/>
      <c r="F26" s="2071"/>
      <c r="G26" s="2072"/>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1874"/>
      <c r="B28" s="1855"/>
      <c r="C28" s="57">
        <v>2014</v>
      </c>
      <c r="D28" s="33"/>
      <c r="E28" s="31"/>
      <c r="F28" s="31"/>
      <c r="G28" s="58">
        <f>SUM(D28:F28)</f>
        <v>0</v>
      </c>
      <c r="H28" s="35"/>
      <c r="I28" s="35"/>
      <c r="J28" s="35"/>
      <c r="K28" s="35"/>
      <c r="L28" s="35"/>
      <c r="M28" s="35"/>
      <c r="N28" s="35"/>
      <c r="O28" s="35"/>
      <c r="P28" s="35"/>
      <c r="Q28" s="7"/>
    </row>
    <row r="29" spans="1:25">
      <c r="A29" s="1854"/>
      <c r="B29" s="1855"/>
      <c r="C29" s="59">
        <v>2015</v>
      </c>
      <c r="D29" s="39">
        <v>28</v>
      </c>
      <c r="E29" s="38"/>
      <c r="F29" s="38"/>
      <c r="G29" s="58">
        <f t="shared" ref="G29:G35" si="2">SUM(D29:F29)</f>
        <v>28</v>
      </c>
      <c r="H29" s="35"/>
      <c r="I29" s="35"/>
      <c r="J29" s="35"/>
      <c r="K29" s="35"/>
      <c r="L29" s="35"/>
      <c r="M29" s="35"/>
      <c r="N29" s="35"/>
      <c r="O29" s="35"/>
      <c r="P29" s="35"/>
      <c r="Q29" s="7"/>
    </row>
    <row r="30" spans="1:25">
      <c r="A30" s="1854"/>
      <c r="B30" s="1855"/>
      <c r="C30" s="59">
        <v>2016</v>
      </c>
      <c r="D30" s="39">
        <v>324</v>
      </c>
      <c r="E30" s="38"/>
      <c r="F30" s="38"/>
      <c r="G30" s="58">
        <f t="shared" si="2"/>
        <v>324</v>
      </c>
      <c r="H30" s="35"/>
      <c r="I30" s="35"/>
      <c r="J30" s="35"/>
      <c r="K30" s="35"/>
      <c r="L30" s="35"/>
      <c r="M30" s="35"/>
      <c r="N30" s="35"/>
      <c r="O30" s="35"/>
      <c r="P30" s="35"/>
      <c r="Q30" s="7"/>
    </row>
    <row r="31" spans="1:25">
      <c r="A31" s="1854"/>
      <c r="B31" s="1855"/>
      <c r="C31" s="59">
        <v>2017</v>
      </c>
      <c r="D31" s="39">
        <v>286</v>
      </c>
      <c r="E31" s="38"/>
      <c r="F31" s="38"/>
      <c r="G31" s="58">
        <f t="shared" si="2"/>
        <v>286</v>
      </c>
      <c r="H31" s="35"/>
      <c r="I31" s="35"/>
      <c r="J31" s="35"/>
      <c r="K31" s="35"/>
      <c r="L31" s="35"/>
      <c r="M31" s="35"/>
      <c r="N31" s="35"/>
      <c r="O31" s="35"/>
      <c r="P31" s="35"/>
      <c r="Q31" s="7"/>
    </row>
    <row r="32" spans="1:25">
      <c r="A32" s="1854"/>
      <c r="B32" s="1855"/>
      <c r="C32" s="59">
        <v>2018</v>
      </c>
      <c r="D32" s="39"/>
      <c r="E32" s="38"/>
      <c r="F32" s="38"/>
      <c r="G32" s="58">
        <f>SUM(D32:F32)</f>
        <v>0</v>
      </c>
      <c r="H32" s="35"/>
      <c r="I32" s="35"/>
      <c r="J32" s="35"/>
      <c r="K32" s="35"/>
      <c r="L32" s="35"/>
      <c r="M32" s="35"/>
      <c r="N32" s="35"/>
      <c r="O32" s="35"/>
      <c r="P32" s="35"/>
      <c r="Q32" s="7"/>
    </row>
    <row r="33" spans="1:17">
      <c r="A33" s="1854"/>
      <c r="B33" s="1855"/>
      <c r="C33" s="60">
        <v>2019</v>
      </c>
      <c r="D33" s="39"/>
      <c r="E33" s="38"/>
      <c r="F33" s="38"/>
      <c r="G33" s="58">
        <f t="shared" si="2"/>
        <v>0</v>
      </c>
      <c r="H33" s="35"/>
      <c r="I33" s="35"/>
      <c r="J33" s="35"/>
      <c r="K33" s="35"/>
      <c r="L33" s="35"/>
      <c r="M33" s="35"/>
      <c r="N33" s="35"/>
      <c r="O33" s="35"/>
      <c r="P33" s="35"/>
      <c r="Q33" s="7"/>
    </row>
    <row r="34" spans="1:17">
      <c r="A34" s="1854"/>
      <c r="B34" s="1855"/>
      <c r="C34" s="59">
        <v>2020</v>
      </c>
      <c r="D34" s="39"/>
      <c r="E34" s="38"/>
      <c r="F34" s="38"/>
      <c r="G34" s="58">
        <f t="shared" si="2"/>
        <v>0</v>
      </c>
      <c r="H34" s="35"/>
      <c r="I34" s="35"/>
      <c r="J34" s="35"/>
      <c r="K34" s="35"/>
      <c r="L34" s="35"/>
      <c r="M34" s="35"/>
      <c r="N34" s="35"/>
      <c r="O34" s="35"/>
      <c r="P34" s="35"/>
      <c r="Q34" s="7"/>
    </row>
    <row r="35" spans="1:17" ht="20.25" customHeight="1" thickBot="1">
      <c r="A35" s="1856"/>
      <c r="B35" s="1857"/>
      <c r="C35" s="61" t="s">
        <v>13</v>
      </c>
      <c r="D35" s="46">
        <f>SUM(D28:D34)</f>
        <v>638</v>
      </c>
      <c r="E35" s="44">
        <f>SUM(E28:E34)</f>
        <v>0</v>
      </c>
      <c r="F35" s="44">
        <f>SUM(F28:F34)</f>
        <v>0</v>
      </c>
      <c r="G35" s="48">
        <f t="shared" si="2"/>
        <v>638</v>
      </c>
      <c r="H35" s="35"/>
      <c r="I35" s="35"/>
      <c r="J35" s="35"/>
      <c r="K35" s="35"/>
      <c r="L35" s="35"/>
      <c r="M35" s="35"/>
      <c r="N35" s="35"/>
      <c r="O35" s="35"/>
      <c r="P35" s="35"/>
      <c r="Q35" s="7"/>
    </row>
    <row r="36" spans="1:17">
      <c r="A36" s="1535"/>
      <c r="B36" s="1535"/>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1662" t="s">
        <v>26</v>
      </c>
      <c r="B39" s="536" t="s">
        <v>171</v>
      </c>
      <c r="C39" s="68" t="s">
        <v>9</v>
      </c>
      <c r="D39" s="69" t="s">
        <v>28</v>
      </c>
      <c r="E39" s="70" t="s">
        <v>29</v>
      </c>
      <c r="F39" s="71"/>
      <c r="G39" s="28"/>
      <c r="H39" s="28"/>
    </row>
    <row r="40" spans="1:17">
      <c r="A40" s="1874" t="s">
        <v>471</v>
      </c>
      <c r="B40" s="1855"/>
      <c r="C40" s="72">
        <v>2014</v>
      </c>
      <c r="D40" s="30"/>
      <c r="E40" s="29"/>
      <c r="F40" s="7"/>
      <c r="G40" s="35"/>
      <c r="H40" s="35"/>
    </row>
    <row r="41" spans="1:17">
      <c r="A41" s="1854"/>
      <c r="B41" s="1855"/>
      <c r="C41" s="73">
        <v>2015</v>
      </c>
      <c r="D41" s="37"/>
      <c r="E41" s="36"/>
      <c r="F41" s="7"/>
      <c r="G41" s="35"/>
      <c r="H41" s="35"/>
    </row>
    <row r="42" spans="1:17">
      <c r="A42" s="1854"/>
      <c r="B42" s="1855"/>
      <c r="C42" s="73">
        <v>2016</v>
      </c>
      <c r="D42" s="37"/>
      <c r="E42" s="36"/>
      <c r="F42" s="7"/>
      <c r="G42" s="35"/>
      <c r="H42" s="35"/>
    </row>
    <row r="43" spans="1:17">
      <c r="A43" s="1854"/>
      <c r="B43" s="1855"/>
      <c r="C43" s="73">
        <v>2017</v>
      </c>
      <c r="D43" s="37"/>
      <c r="E43" s="36"/>
      <c r="F43" s="7"/>
      <c r="G43" s="35"/>
      <c r="H43" s="35"/>
    </row>
    <row r="44" spans="1:17">
      <c r="A44" s="1854"/>
      <c r="B44" s="1855"/>
      <c r="C44" s="73">
        <v>2018</v>
      </c>
      <c r="D44" s="37"/>
      <c r="E44" s="36"/>
      <c r="F44" s="7"/>
      <c r="G44" s="35"/>
      <c r="H44" s="35"/>
    </row>
    <row r="45" spans="1:17">
      <c r="A45" s="1854"/>
      <c r="B45" s="1855"/>
      <c r="C45" s="73">
        <v>2019</v>
      </c>
      <c r="D45" s="37"/>
      <c r="E45" s="36"/>
      <c r="F45" s="7"/>
      <c r="G45" s="35"/>
      <c r="H45" s="35"/>
    </row>
    <row r="46" spans="1:17">
      <c r="A46" s="1854"/>
      <c r="B46" s="1855"/>
      <c r="C46" s="73">
        <v>2020</v>
      </c>
      <c r="D46" s="37"/>
      <c r="E46" s="36"/>
      <c r="F46" s="7"/>
      <c r="G46" s="35"/>
      <c r="H46" s="35"/>
    </row>
    <row r="47" spans="1:17" ht="15.75" thickBot="1">
      <c r="A47" s="1856"/>
      <c r="B47" s="1857"/>
      <c r="C47" s="42" t="s">
        <v>13</v>
      </c>
      <c r="D47" s="43">
        <f>SUM(D40:D46)</f>
        <v>0</v>
      </c>
      <c r="E47" s="455">
        <f>SUM(E40:E46)</f>
        <v>0</v>
      </c>
      <c r="F47" s="78"/>
      <c r="G47" s="35"/>
      <c r="H47" s="35"/>
    </row>
    <row r="48" spans="1:17" s="35" customFormat="1" ht="15.75" thickBot="1">
      <c r="A48" s="539"/>
      <c r="B48" s="80"/>
      <c r="C48" s="81"/>
    </row>
    <row r="49" spans="1:15" ht="83.25" customHeight="1">
      <c r="A49" s="82" t="s">
        <v>32</v>
      </c>
      <c r="B49" s="536" t="s">
        <v>171</v>
      </c>
      <c r="C49" s="84" t="s">
        <v>9</v>
      </c>
      <c r="D49" s="69" t="s">
        <v>34</v>
      </c>
      <c r="E49" s="85" t="s">
        <v>35</v>
      </c>
      <c r="F49" s="85" t="s">
        <v>36</v>
      </c>
      <c r="G49" s="85" t="s">
        <v>37</v>
      </c>
      <c r="H49" s="85" t="s">
        <v>38</v>
      </c>
      <c r="I49" s="85" t="s">
        <v>39</v>
      </c>
      <c r="J49" s="85" t="s">
        <v>40</v>
      </c>
      <c r="K49" s="86" t="s">
        <v>41</v>
      </c>
    </row>
    <row r="50" spans="1:15" ht="17.25" customHeight="1">
      <c r="A50" s="1872"/>
      <c r="B50" s="1879"/>
      <c r="C50" s="87" t="s">
        <v>43</v>
      </c>
      <c r="D50" s="30"/>
      <c r="E50" s="31"/>
      <c r="F50" s="31"/>
      <c r="G50" s="31"/>
      <c r="H50" s="31"/>
      <c r="I50" s="31"/>
      <c r="J50" s="31"/>
      <c r="K50" s="34"/>
    </row>
    <row r="51" spans="1:15" ht="15" customHeight="1">
      <c r="A51" s="1874"/>
      <c r="B51" s="1881"/>
      <c r="C51" s="73">
        <v>2014</v>
      </c>
      <c r="D51" s="37"/>
      <c r="E51" s="38"/>
      <c r="F51" s="38"/>
      <c r="G51" s="38"/>
      <c r="H51" s="38"/>
      <c r="I51" s="38"/>
      <c r="J51" s="38"/>
      <c r="K51" s="88"/>
    </row>
    <row r="52" spans="1:15">
      <c r="A52" s="1874"/>
      <c r="B52" s="1881"/>
      <c r="C52" s="73">
        <v>2015</v>
      </c>
      <c r="D52" s="37"/>
      <c r="E52" s="38"/>
      <c r="F52" s="38"/>
      <c r="G52" s="38"/>
      <c r="H52" s="38"/>
      <c r="I52" s="38"/>
      <c r="J52" s="38"/>
      <c r="K52" s="88"/>
    </row>
    <row r="53" spans="1:15">
      <c r="A53" s="1874"/>
      <c r="B53" s="1881"/>
      <c r="C53" s="73">
        <v>2016</v>
      </c>
      <c r="D53" s="37"/>
      <c r="E53" s="38"/>
      <c r="F53" s="38"/>
      <c r="G53" s="38"/>
      <c r="H53" s="38"/>
      <c r="I53" s="38"/>
      <c r="J53" s="38"/>
      <c r="K53" s="88"/>
    </row>
    <row r="54" spans="1:15">
      <c r="A54" s="1874"/>
      <c r="B54" s="1881"/>
      <c r="C54" s="73">
        <v>2017</v>
      </c>
      <c r="D54" s="37"/>
      <c r="E54" s="38"/>
      <c r="F54" s="38"/>
      <c r="G54" s="38"/>
      <c r="H54" s="38"/>
      <c r="I54" s="38"/>
      <c r="J54" s="38"/>
      <c r="K54" s="88"/>
    </row>
    <row r="55" spans="1:15">
      <c r="A55" s="1874"/>
      <c r="B55" s="1881"/>
      <c r="C55" s="73">
        <v>2018</v>
      </c>
      <c r="D55" s="37"/>
      <c r="E55" s="38"/>
      <c r="F55" s="38"/>
      <c r="G55" s="38"/>
      <c r="H55" s="38"/>
      <c r="I55" s="38"/>
      <c r="J55" s="38"/>
      <c r="K55" s="88"/>
    </row>
    <row r="56" spans="1:15">
      <c r="A56" s="1874"/>
      <c r="B56" s="1881"/>
      <c r="C56" s="73">
        <v>2019</v>
      </c>
      <c r="D56" s="37"/>
      <c r="E56" s="38"/>
      <c r="F56" s="38"/>
      <c r="G56" s="38"/>
      <c r="H56" s="38"/>
      <c r="I56" s="38"/>
      <c r="J56" s="38"/>
      <c r="K56" s="88"/>
    </row>
    <row r="57" spans="1:15">
      <c r="A57" s="1874"/>
      <c r="B57" s="1881"/>
      <c r="C57" s="73">
        <v>2020</v>
      </c>
      <c r="D57" s="37"/>
      <c r="E57" s="38"/>
      <c r="F57" s="38"/>
      <c r="G57" s="38"/>
      <c r="H57" s="38"/>
      <c r="I57" s="38"/>
      <c r="J57" s="38"/>
      <c r="K57" s="93"/>
    </row>
    <row r="58" spans="1:15" ht="20.25" customHeight="1" thickBot="1">
      <c r="A58" s="1876"/>
      <c r="B58" s="1883"/>
      <c r="C58" s="42" t="s">
        <v>13</v>
      </c>
      <c r="D58" s="43">
        <f>SUM(D51:D57)</f>
        <v>0</v>
      </c>
      <c r="E58" s="44">
        <f>SUM(E51:E57)</f>
        <v>0</v>
      </c>
      <c r="F58" s="44">
        <f>SUM(F51:F57)</f>
        <v>0</v>
      </c>
      <c r="G58" s="44">
        <f>SUM(G51:G57)</f>
        <v>0</v>
      </c>
      <c r="H58" s="44">
        <f>SUM(H51:H57)</f>
        <v>0</v>
      </c>
      <c r="I58" s="44">
        <f t="shared" ref="I58" si="3">SUM(I51:I57)</f>
        <v>0</v>
      </c>
      <c r="J58" s="44">
        <f>SUM(J51:J57)</f>
        <v>0</v>
      </c>
      <c r="K58" s="48">
        <f>SUM(K50:K56)</f>
        <v>0</v>
      </c>
    </row>
    <row r="59" spans="1:15" ht="15.75" thickBot="1"/>
    <row r="60" spans="1:15" ht="21" customHeight="1">
      <c r="A60" s="2073" t="s">
        <v>44</v>
      </c>
      <c r="B60" s="540"/>
      <c r="C60" s="2074" t="s">
        <v>9</v>
      </c>
      <c r="D60" s="2417" t="s">
        <v>45</v>
      </c>
      <c r="E60" s="96" t="s">
        <v>6</v>
      </c>
      <c r="F60" s="541"/>
      <c r="G60" s="541"/>
      <c r="H60" s="541"/>
      <c r="I60" s="541"/>
      <c r="J60" s="541"/>
      <c r="K60" s="541"/>
      <c r="L60" s="542"/>
    </row>
    <row r="61" spans="1:15" ht="115.5" customHeight="1">
      <c r="A61" s="1970"/>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1898"/>
      <c r="B62" s="1899"/>
      <c r="C62" s="106">
        <v>2014</v>
      </c>
      <c r="D62" s="107"/>
      <c r="E62" s="108"/>
      <c r="F62" s="109"/>
      <c r="G62" s="109"/>
      <c r="H62" s="109"/>
      <c r="I62" s="109"/>
      <c r="J62" s="109"/>
      <c r="K62" s="109"/>
      <c r="L62" s="34"/>
      <c r="M62" s="7"/>
      <c r="N62" s="7"/>
      <c r="O62" s="7"/>
    </row>
    <row r="63" spans="1:15">
      <c r="A63" s="1891"/>
      <c r="B63" s="1899"/>
      <c r="C63" s="110">
        <v>2015</v>
      </c>
      <c r="D63" s="111"/>
      <c r="E63" s="112"/>
      <c r="F63" s="38"/>
      <c r="G63" s="38"/>
      <c r="H63" s="38"/>
      <c r="I63" s="38"/>
      <c r="J63" s="38"/>
      <c r="K63" s="38"/>
      <c r="L63" s="88"/>
      <c r="M63" s="7"/>
      <c r="N63" s="7"/>
      <c r="O63" s="7"/>
    </row>
    <row r="64" spans="1:15">
      <c r="A64" s="1891"/>
      <c r="B64" s="1899"/>
      <c r="C64" s="110">
        <v>2016</v>
      </c>
      <c r="D64" s="111">
        <v>1</v>
      </c>
      <c r="E64" s="112">
        <v>1</v>
      </c>
      <c r="F64" s="38"/>
      <c r="G64" s="38"/>
      <c r="H64" s="38"/>
      <c r="I64" s="38"/>
      <c r="J64" s="38"/>
      <c r="K64" s="38"/>
      <c r="L64" s="88"/>
      <c r="M64" s="7"/>
      <c r="N64" s="7"/>
      <c r="O64" s="7"/>
    </row>
    <row r="65" spans="1:20">
      <c r="A65" s="1891"/>
      <c r="B65" s="1899"/>
      <c r="C65" s="110">
        <v>2017</v>
      </c>
      <c r="D65" s="111">
        <v>3</v>
      </c>
      <c r="E65" s="112">
        <v>3</v>
      </c>
      <c r="F65" s="38"/>
      <c r="G65" s="38"/>
      <c r="H65" s="38"/>
      <c r="I65" s="38"/>
      <c r="J65" s="38"/>
      <c r="K65" s="38"/>
      <c r="L65" s="88"/>
      <c r="M65" s="7"/>
      <c r="N65" s="7"/>
      <c r="O65" s="7"/>
    </row>
    <row r="66" spans="1:20">
      <c r="A66" s="1891"/>
      <c r="B66" s="1899"/>
      <c r="C66" s="110">
        <v>2018</v>
      </c>
      <c r="D66" s="111"/>
      <c r="E66" s="112"/>
      <c r="F66" s="38"/>
      <c r="G66" s="38"/>
      <c r="H66" s="38"/>
      <c r="I66" s="38"/>
      <c r="J66" s="38"/>
      <c r="K66" s="38"/>
      <c r="L66" s="88"/>
      <c r="M66" s="7"/>
      <c r="N66" s="7"/>
      <c r="O66" s="7"/>
    </row>
    <row r="67" spans="1:20" ht="17.25" customHeight="1">
      <c r="A67" s="1891"/>
      <c r="B67" s="1899"/>
      <c r="C67" s="110">
        <v>2019</v>
      </c>
      <c r="D67" s="111"/>
      <c r="E67" s="112"/>
      <c r="F67" s="38"/>
      <c r="G67" s="38"/>
      <c r="H67" s="38"/>
      <c r="I67" s="38"/>
      <c r="J67" s="38"/>
      <c r="K67" s="38"/>
      <c r="L67" s="88"/>
      <c r="M67" s="7"/>
      <c r="N67" s="7"/>
      <c r="O67" s="7"/>
    </row>
    <row r="68" spans="1:20" ht="16.5" customHeight="1">
      <c r="A68" s="1891"/>
      <c r="B68" s="1899"/>
      <c r="C68" s="110">
        <v>2020</v>
      </c>
      <c r="D68" s="111"/>
      <c r="E68" s="112"/>
      <c r="F68" s="38"/>
      <c r="G68" s="38"/>
      <c r="H68" s="38"/>
      <c r="I68" s="38"/>
      <c r="J68" s="38"/>
      <c r="K68" s="38"/>
      <c r="L68" s="88"/>
      <c r="M68" s="78"/>
      <c r="N68" s="78"/>
      <c r="O68" s="78"/>
    </row>
    <row r="69" spans="1:20" ht="18" customHeight="1" thickBot="1">
      <c r="A69" s="1980"/>
      <c r="B69" s="1900"/>
      <c r="C69" s="113" t="s">
        <v>13</v>
      </c>
      <c r="D69" s="114">
        <f>SUM(D62:D68)</f>
        <v>4</v>
      </c>
      <c r="E69" s="115">
        <f>SUM(E62:E68)</f>
        <v>4</v>
      </c>
      <c r="F69" s="116">
        <f t="shared" ref="F69:I69" si="4">SUM(F62:F68)</f>
        <v>0</v>
      </c>
      <c r="G69" s="116">
        <f t="shared" si="4"/>
        <v>0</v>
      </c>
      <c r="H69" s="116">
        <f t="shared" si="4"/>
        <v>0</v>
      </c>
      <c r="I69" s="116">
        <f t="shared" si="4"/>
        <v>0</v>
      </c>
      <c r="J69" s="116"/>
      <c r="K69" s="116">
        <f>SUM(K62:K68)</f>
        <v>0</v>
      </c>
      <c r="L69" s="117">
        <f>SUM(L62:L68)</f>
        <v>0</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535" t="s">
        <v>47</v>
      </c>
      <c r="B71" s="536"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1874"/>
      <c r="B72" s="1899"/>
      <c r="C72" s="72">
        <v>2014</v>
      </c>
      <c r="D72" s="131"/>
      <c r="E72" s="131"/>
      <c r="F72" s="131"/>
      <c r="G72" s="132">
        <f>SUM(D72:F72)</f>
        <v>0</v>
      </c>
      <c r="H72" s="30"/>
      <c r="I72" s="133"/>
      <c r="J72" s="109"/>
      <c r="K72" s="109"/>
      <c r="L72" s="109"/>
      <c r="M72" s="109"/>
      <c r="N72" s="109"/>
      <c r="O72" s="134"/>
    </row>
    <row r="73" spans="1:20">
      <c r="A73" s="1854"/>
      <c r="B73" s="1899"/>
      <c r="C73" s="73">
        <v>2015</v>
      </c>
      <c r="D73" s="135"/>
      <c r="E73" s="135"/>
      <c r="F73" s="135"/>
      <c r="G73" s="132">
        <f t="shared" ref="G73:G78" si="5">SUM(D73:F73)</f>
        <v>0</v>
      </c>
      <c r="H73" s="37"/>
      <c r="I73" s="37"/>
      <c r="J73" s="38"/>
      <c r="K73" s="38"/>
      <c r="L73" s="38"/>
      <c r="M73" s="38"/>
      <c r="N73" s="38"/>
      <c r="O73" s="88"/>
    </row>
    <row r="74" spans="1:20">
      <c r="A74" s="1854"/>
      <c r="B74" s="1899"/>
      <c r="C74" s="73">
        <v>2016</v>
      </c>
      <c r="D74" s="135"/>
      <c r="E74" s="135"/>
      <c r="F74" s="135"/>
      <c r="G74" s="132">
        <f t="shared" si="5"/>
        <v>0</v>
      </c>
      <c r="H74" s="37"/>
      <c r="I74" s="37"/>
      <c r="J74" s="38"/>
      <c r="K74" s="38"/>
      <c r="L74" s="38"/>
      <c r="M74" s="38"/>
      <c r="N74" s="38"/>
      <c r="O74" s="88"/>
    </row>
    <row r="75" spans="1:20">
      <c r="A75" s="1854"/>
      <c r="B75" s="1899"/>
      <c r="C75" s="73">
        <v>2017</v>
      </c>
      <c r="D75" s="135"/>
      <c r="E75" s="135"/>
      <c r="F75" s="135"/>
      <c r="G75" s="132">
        <f t="shared" si="5"/>
        <v>0</v>
      </c>
      <c r="H75" s="37"/>
      <c r="I75" s="37"/>
      <c r="J75" s="38"/>
      <c r="K75" s="38"/>
      <c r="L75" s="38"/>
      <c r="M75" s="38"/>
      <c r="N75" s="38"/>
      <c r="O75" s="88"/>
    </row>
    <row r="76" spans="1:20">
      <c r="A76" s="1854"/>
      <c r="B76" s="1899"/>
      <c r="C76" s="73">
        <v>2018</v>
      </c>
      <c r="D76" s="135"/>
      <c r="E76" s="135"/>
      <c r="F76" s="135"/>
      <c r="G76" s="132">
        <f t="shared" si="5"/>
        <v>0</v>
      </c>
      <c r="H76" s="37"/>
      <c r="I76" s="37"/>
      <c r="J76" s="38"/>
      <c r="K76" s="38"/>
      <c r="L76" s="38"/>
      <c r="M76" s="38"/>
      <c r="N76" s="38"/>
      <c r="O76" s="88"/>
    </row>
    <row r="77" spans="1:20" ht="15.75" customHeight="1">
      <c r="A77" s="1854"/>
      <c r="B77" s="1899"/>
      <c r="C77" s="73">
        <v>2019</v>
      </c>
      <c r="D77" s="135"/>
      <c r="E77" s="135"/>
      <c r="F77" s="135"/>
      <c r="G77" s="132">
        <f t="shared" si="5"/>
        <v>0</v>
      </c>
      <c r="H77" s="37"/>
      <c r="I77" s="37"/>
      <c r="J77" s="38"/>
      <c r="K77" s="38"/>
      <c r="L77" s="38"/>
      <c r="M77" s="38"/>
      <c r="N77" s="38"/>
      <c r="O77" s="88"/>
    </row>
    <row r="78" spans="1:20" ht="17.25" customHeight="1">
      <c r="A78" s="1854"/>
      <c r="B78" s="1899"/>
      <c r="C78" s="73">
        <v>2020</v>
      </c>
      <c r="D78" s="135"/>
      <c r="E78" s="135"/>
      <c r="F78" s="135"/>
      <c r="G78" s="132">
        <f t="shared" si="5"/>
        <v>0</v>
      </c>
      <c r="H78" s="37"/>
      <c r="I78" s="37"/>
      <c r="J78" s="38"/>
      <c r="K78" s="38"/>
      <c r="L78" s="38"/>
      <c r="M78" s="38"/>
      <c r="N78" s="38"/>
      <c r="O78" s="88"/>
    </row>
    <row r="79" spans="1:20" ht="20.25" customHeight="1" thickBot="1">
      <c r="A79" s="1980"/>
      <c r="B79" s="1900"/>
      <c r="C79" s="136" t="s">
        <v>13</v>
      </c>
      <c r="D79" s="114">
        <f>SUM(D72:D78)</f>
        <v>0</v>
      </c>
      <c r="E79" s="114">
        <f>SUM(E72:E78)</f>
        <v>0</v>
      </c>
      <c r="F79" s="114">
        <f>SUM(F72:F78)</f>
        <v>0</v>
      </c>
      <c r="G79" s="137">
        <f>SUM(G72:G78)</f>
        <v>0</v>
      </c>
      <c r="H79" s="138">
        <v>0</v>
      </c>
      <c r="I79" s="139">
        <f t="shared" ref="I79:O79" si="6">SUM(I72:I78)</f>
        <v>0</v>
      </c>
      <c r="J79" s="116">
        <f t="shared" si="6"/>
        <v>0</v>
      </c>
      <c r="K79" s="116">
        <f t="shared" si="6"/>
        <v>0</v>
      </c>
      <c r="L79" s="116">
        <f t="shared" si="6"/>
        <v>0</v>
      </c>
      <c r="M79" s="116">
        <f t="shared" si="6"/>
        <v>0</v>
      </c>
      <c r="N79" s="116">
        <f t="shared" si="6"/>
        <v>0</v>
      </c>
      <c r="O79" s="117">
        <f t="shared" si="6"/>
        <v>0</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547" t="s">
        <v>56</v>
      </c>
      <c r="B84" s="548" t="s">
        <v>178</v>
      </c>
      <c r="C84" s="149" t="s">
        <v>9</v>
      </c>
      <c r="D84" s="150" t="s">
        <v>58</v>
      </c>
      <c r="E84" s="151" t="s">
        <v>59</v>
      </c>
      <c r="F84" s="152" t="s">
        <v>60</v>
      </c>
      <c r="G84" s="152" t="s">
        <v>61</v>
      </c>
      <c r="H84" s="152" t="s">
        <v>62</v>
      </c>
      <c r="I84" s="152" t="s">
        <v>63</v>
      </c>
      <c r="J84" s="152" t="s">
        <v>64</v>
      </c>
      <c r="K84" s="153" t="s">
        <v>65</v>
      </c>
    </row>
    <row r="85" spans="1:16" ht="15" customHeight="1">
      <c r="A85" s="1938"/>
      <c r="B85" s="1899"/>
      <c r="C85" s="72">
        <v>2014</v>
      </c>
      <c r="D85" s="154"/>
      <c r="E85" s="155"/>
      <c r="F85" s="31"/>
      <c r="G85" s="31"/>
      <c r="H85" s="31"/>
      <c r="I85" s="31"/>
      <c r="J85" s="31"/>
      <c r="K85" s="34"/>
    </row>
    <row r="86" spans="1:16">
      <c r="A86" s="1939"/>
      <c r="B86" s="1899"/>
      <c r="C86" s="73">
        <v>2015</v>
      </c>
      <c r="D86" s="156"/>
      <c r="E86" s="112"/>
      <c r="F86" s="38"/>
      <c r="G86" s="38"/>
      <c r="H86" s="38"/>
      <c r="I86" s="38"/>
      <c r="J86" s="38"/>
      <c r="K86" s="88"/>
    </row>
    <row r="87" spans="1:16">
      <c r="A87" s="1939"/>
      <c r="B87" s="1899"/>
      <c r="C87" s="73">
        <v>2016</v>
      </c>
      <c r="D87" s="156"/>
      <c r="E87" s="112"/>
      <c r="F87" s="38"/>
      <c r="G87" s="38"/>
      <c r="H87" s="38"/>
      <c r="I87" s="38"/>
      <c r="J87" s="38"/>
      <c r="K87" s="88"/>
    </row>
    <row r="88" spans="1:16">
      <c r="A88" s="1939"/>
      <c r="B88" s="1899"/>
      <c r="C88" s="73">
        <v>2017</v>
      </c>
      <c r="D88" s="156"/>
      <c r="E88" s="112"/>
      <c r="F88" s="38"/>
      <c r="G88" s="38"/>
      <c r="H88" s="38"/>
      <c r="I88" s="38"/>
      <c r="J88" s="38"/>
      <c r="K88" s="88"/>
    </row>
    <row r="89" spans="1:16">
      <c r="A89" s="1939"/>
      <c r="B89" s="1899"/>
      <c r="C89" s="73">
        <v>2018</v>
      </c>
      <c r="D89" s="156"/>
      <c r="E89" s="112"/>
      <c r="F89" s="38"/>
      <c r="G89" s="38"/>
      <c r="H89" s="38"/>
      <c r="I89" s="38"/>
      <c r="J89" s="38"/>
      <c r="K89" s="88"/>
    </row>
    <row r="90" spans="1:16">
      <c r="A90" s="1939"/>
      <c r="B90" s="1899"/>
      <c r="C90" s="73">
        <v>2019</v>
      </c>
      <c r="D90" s="156"/>
      <c r="E90" s="112"/>
      <c r="F90" s="38"/>
      <c r="G90" s="38"/>
      <c r="H90" s="38"/>
      <c r="I90" s="38"/>
      <c r="J90" s="38"/>
      <c r="K90" s="88"/>
    </row>
    <row r="91" spans="1:16">
      <c r="A91" s="1939"/>
      <c r="B91" s="1899"/>
      <c r="C91" s="73">
        <v>2020</v>
      </c>
      <c r="D91" s="156"/>
      <c r="E91" s="112"/>
      <c r="F91" s="38"/>
      <c r="G91" s="38"/>
      <c r="H91" s="38"/>
      <c r="I91" s="38"/>
      <c r="J91" s="38"/>
      <c r="K91" s="88"/>
    </row>
    <row r="92" spans="1:16" ht="18" customHeight="1" thickBot="1">
      <c r="A92" s="1940"/>
      <c r="B92" s="1900"/>
      <c r="C92" s="136" t="s">
        <v>13</v>
      </c>
      <c r="D92" s="157">
        <f t="shared" ref="D92:I92" si="7">SUM(D85:D91)</f>
        <v>0</v>
      </c>
      <c r="E92" s="115">
        <f t="shared" si="7"/>
        <v>0</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051" t="s">
        <v>68</v>
      </c>
      <c r="B96" s="2052" t="s">
        <v>179</v>
      </c>
      <c r="C96" s="2058" t="s">
        <v>9</v>
      </c>
      <c r="D96" s="1916" t="s">
        <v>70</v>
      </c>
      <c r="E96" s="1917"/>
      <c r="F96" s="162" t="s">
        <v>71</v>
      </c>
      <c r="G96" s="549"/>
      <c r="H96" s="549"/>
      <c r="I96" s="549"/>
      <c r="J96" s="549"/>
      <c r="K96" s="549"/>
      <c r="L96" s="549"/>
      <c r="M96" s="550"/>
      <c r="N96" s="165"/>
      <c r="O96" s="165"/>
      <c r="P96" s="165"/>
    </row>
    <row r="97" spans="1:16" ht="100.5" customHeight="1">
      <c r="A97" s="1910"/>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1898"/>
      <c r="B98" s="1899"/>
      <c r="C98" s="106">
        <v>2014</v>
      </c>
      <c r="D98" s="30"/>
      <c r="E98" s="31"/>
      <c r="F98" s="174"/>
      <c r="G98" s="175"/>
      <c r="H98" s="175"/>
      <c r="I98" s="175"/>
      <c r="J98" s="175"/>
      <c r="K98" s="175"/>
      <c r="L98" s="175"/>
      <c r="M98" s="176"/>
      <c r="N98" s="165"/>
      <c r="O98" s="165"/>
      <c r="P98" s="165"/>
    </row>
    <row r="99" spans="1:16" ht="16.5" customHeight="1">
      <c r="A99" s="1891"/>
      <c r="B99" s="1899"/>
      <c r="C99" s="110">
        <v>2015</v>
      </c>
      <c r="D99" s="37"/>
      <c r="E99" s="38"/>
      <c r="F99" s="177"/>
      <c r="G99" s="178"/>
      <c r="H99" s="178"/>
      <c r="I99" s="178"/>
      <c r="J99" s="178"/>
      <c r="K99" s="178"/>
      <c r="L99" s="178"/>
      <c r="M99" s="179"/>
      <c r="N99" s="165"/>
      <c r="O99" s="165"/>
      <c r="P99" s="165"/>
    </row>
    <row r="100" spans="1:16" ht="16.5" customHeight="1">
      <c r="A100" s="1891"/>
      <c r="B100" s="1899"/>
      <c r="C100" s="110">
        <v>2016</v>
      </c>
      <c r="D100" s="37"/>
      <c r="E100" s="38"/>
      <c r="F100" s="177"/>
      <c r="G100" s="178"/>
      <c r="H100" s="178"/>
      <c r="I100" s="178"/>
      <c r="J100" s="178"/>
      <c r="K100" s="178"/>
      <c r="L100" s="178"/>
      <c r="M100" s="179"/>
      <c r="N100" s="165"/>
      <c r="O100" s="165"/>
      <c r="P100" s="165"/>
    </row>
    <row r="101" spans="1:16" ht="16.5" customHeight="1">
      <c r="A101" s="1891"/>
      <c r="B101" s="1899"/>
      <c r="C101" s="110">
        <v>2017</v>
      </c>
      <c r="D101" s="37"/>
      <c r="E101" s="38"/>
      <c r="F101" s="177"/>
      <c r="G101" s="178"/>
      <c r="H101" s="178"/>
      <c r="I101" s="178"/>
      <c r="J101" s="178"/>
      <c r="K101" s="178"/>
      <c r="L101" s="178"/>
      <c r="M101" s="179"/>
      <c r="N101" s="165"/>
      <c r="O101" s="165"/>
      <c r="P101" s="165"/>
    </row>
    <row r="102" spans="1:16" ht="15.75" customHeight="1">
      <c r="A102" s="1891"/>
      <c r="B102" s="1899"/>
      <c r="C102" s="110">
        <v>2018</v>
      </c>
      <c r="D102" s="37"/>
      <c r="E102" s="38"/>
      <c r="F102" s="177"/>
      <c r="G102" s="178"/>
      <c r="H102" s="178"/>
      <c r="I102" s="178"/>
      <c r="J102" s="178"/>
      <c r="K102" s="178"/>
      <c r="L102" s="178"/>
      <c r="M102" s="179"/>
      <c r="N102" s="165"/>
      <c r="O102" s="165"/>
      <c r="P102" s="165"/>
    </row>
    <row r="103" spans="1:16" ht="14.25" customHeight="1">
      <c r="A103" s="1891"/>
      <c r="B103" s="1899"/>
      <c r="C103" s="110">
        <v>2019</v>
      </c>
      <c r="D103" s="37"/>
      <c r="E103" s="38"/>
      <c r="F103" s="177"/>
      <c r="G103" s="178"/>
      <c r="H103" s="178"/>
      <c r="I103" s="178"/>
      <c r="J103" s="178"/>
      <c r="K103" s="178"/>
      <c r="L103" s="178"/>
      <c r="M103" s="179"/>
      <c r="N103" s="165"/>
      <c r="O103" s="165"/>
      <c r="P103" s="165"/>
    </row>
    <row r="104" spans="1:16" ht="14.25" customHeight="1">
      <c r="A104" s="1891"/>
      <c r="B104" s="1899"/>
      <c r="C104" s="110">
        <v>2020</v>
      </c>
      <c r="D104" s="37"/>
      <c r="E104" s="38"/>
      <c r="F104" s="177"/>
      <c r="G104" s="178"/>
      <c r="H104" s="178"/>
      <c r="I104" s="178"/>
      <c r="J104" s="178"/>
      <c r="K104" s="178"/>
      <c r="L104" s="178"/>
      <c r="M104" s="179"/>
      <c r="N104" s="165"/>
      <c r="O104" s="165"/>
      <c r="P104" s="165"/>
    </row>
    <row r="105" spans="1:16" ht="19.5" customHeight="1" thickBot="1">
      <c r="A105" s="1915"/>
      <c r="B105" s="1900"/>
      <c r="C105" s="113" t="s">
        <v>13</v>
      </c>
      <c r="D105" s="139">
        <f>SUM(D98:D104)</f>
        <v>0</v>
      </c>
      <c r="E105" s="116">
        <f t="shared" ref="E105:K105" si="8">SUM(E98:E104)</f>
        <v>0</v>
      </c>
      <c r="F105" s="180">
        <f t="shared" si="8"/>
        <v>0</v>
      </c>
      <c r="G105" s="181">
        <f t="shared" si="8"/>
        <v>0</v>
      </c>
      <c r="H105" s="181">
        <f t="shared" si="8"/>
        <v>0</v>
      </c>
      <c r="I105" s="181">
        <f>SUM(I98:I104)</f>
        <v>0</v>
      </c>
      <c r="J105" s="181">
        <f t="shared" si="8"/>
        <v>0</v>
      </c>
      <c r="K105" s="181">
        <f t="shared" si="8"/>
        <v>0</v>
      </c>
      <c r="L105" s="181">
        <f>SUM(L98:L104)</f>
        <v>0</v>
      </c>
      <c r="M105" s="182">
        <f>SUM(M98:M104)</f>
        <v>0</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051" t="s">
        <v>77</v>
      </c>
      <c r="B107" s="2052" t="s">
        <v>179</v>
      </c>
      <c r="C107" s="2058" t="s">
        <v>9</v>
      </c>
      <c r="D107" s="2414" t="s">
        <v>78</v>
      </c>
      <c r="E107" s="162" t="s">
        <v>79</v>
      </c>
      <c r="F107" s="549"/>
      <c r="G107" s="549"/>
      <c r="H107" s="549"/>
      <c r="I107" s="549"/>
      <c r="J107" s="549"/>
      <c r="K107" s="549"/>
      <c r="L107" s="550"/>
      <c r="M107" s="185"/>
      <c r="N107" s="185"/>
    </row>
    <row r="108" spans="1:16" ht="103.5"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1898"/>
      <c r="B109" s="1899"/>
      <c r="C109" s="106">
        <v>2014</v>
      </c>
      <c r="D109" s="31"/>
      <c r="E109" s="174"/>
      <c r="F109" s="175"/>
      <c r="G109" s="175"/>
      <c r="H109" s="175"/>
      <c r="I109" s="175"/>
      <c r="J109" s="175"/>
      <c r="K109" s="175"/>
      <c r="L109" s="176"/>
      <c r="M109" s="185"/>
      <c r="N109" s="185"/>
    </row>
    <row r="110" spans="1:16">
      <c r="A110" s="1891"/>
      <c r="B110" s="1899"/>
      <c r="C110" s="110">
        <v>2015</v>
      </c>
      <c r="D110" s="38"/>
      <c r="E110" s="177"/>
      <c r="F110" s="178"/>
      <c r="G110" s="178"/>
      <c r="H110" s="178"/>
      <c r="I110" s="178"/>
      <c r="J110" s="178"/>
      <c r="K110" s="178"/>
      <c r="L110" s="179"/>
      <c r="M110" s="185"/>
      <c r="N110" s="185"/>
    </row>
    <row r="111" spans="1:16">
      <c r="A111" s="1891"/>
      <c r="B111" s="1899"/>
      <c r="C111" s="110">
        <v>2016</v>
      </c>
      <c r="D111" s="38"/>
      <c r="E111" s="177"/>
      <c r="F111" s="178"/>
      <c r="G111" s="178"/>
      <c r="H111" s="178"/>
      <c r="I111" s="178"/>
      <c r="J111" s="178"/>
      <c r="K111" s="178"/>
      <c r="L111" s="179"/>
      <c r="M111" s="185"/>
      <c r="N111" s="185"/>
    </row>
    <row r="112" spans="1:16">
      <c r="A112" s="1891"/>
      <c r="B112" s="1899"/>
      <c r="C112" s="110">
        <v>2017</v>
      </c>
      <c r="D112" s="38"/>
      <c r="E112" s="177"/>
      <c r="F112" s="178"/>
      <c r="G112" s="178"/>
      <c r="H112" s="178"/>
      <c r="I112" s="178"/>
      <c r="J112" s="178"/>
      <c r="K112" s="178"/>
      <c r="L112" s="179"/>
      <c r="M112" s="185"/>
      <c r="N112" s="185"/>
    </row>
    <row r="113" spans="1:14">
      <c r="A113" s="1891"/>
      <c r="B113" s="1899"/>
      <c r="C113" s="110">
        <v>2018</v>
      </c>
      <c r="D113" s="38"/>
      <c r="E113" s="177"/>
      <c r="F113" s="178"/>
      <c r="G113" s="178"/>
      <c r="H113" s="178"/>
      <c r="I113" s="178"/>
      <c r="J113" s="178"/>
      <c r="K113" s="178"/>
      <c r="L113" s="179"/>
      <c r="M113" s="185"/>
      <c r="N113" s="185"/>
    </row>
    <row r="114" spans="1:14">
      <c r="A114" s="1891"/>
      <c r="B114" s="1899"/>
      <c r="C114" s="110">
        <v>2019</v>
      </c>
      <c r="D114" s="38"/>
      <c r="E114" s="177"/>
      <c r="F114" s="178"/>
      <c r="G114" s="178"/>
      <c r="H114" s="178"/>
      <c r="I114" s="178"/>
      <c r="J114" s="178"/>
      <c r="K114" s="178"/>
      <c r="L114" s="179"/>
      <c r="M114" s="185"/>
      <c r="N114" s="185"/>
    </row>
    <row r="115" spans="1:14">
      <c r="A115" s="1891"/>
      <c r="B115" s="1899"/>
      <c r="C115" s="110">
        <v>2020</v>
      </c>
      <c r="D115" s="38"/>
      <c r="E115" s="177"/>
      <c r="F115" s="178"/>
      <c r="G115" s="178"/>
      <c r="H115" s="178"/>
      <c r="I115" s="178"/>
      <c r="J115" s="178"/>
      <c r="K115" s="178"/>
      <c r="L115" s="179"/>
      <c r="M115" s="185"/>
      <c r="N115" s="185"/>
    </row>
    <row r="116" spans="1:14" ht="25.5" customHeight="1" thickBot="1">
      <c r="A116" s="1915"/>
      <c r="B116" s="1900"/>
      <c r="C116" s="113" t="s">
        <v>13</v>
      </c>
      <c r="D116" s="116">
        <f t="shared" ref="D116:I116" si="9">SUM(D109:D115)</f>
        <v>0</v>
      </c>
      <c r="E116" s="180">
        <f t="shared" si="9"/>
        <v>0</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051" t="s">
        <v>81</v>
      </c>
      <c r="B118" s="2052" t="s">
        <v>179</v>
      </c>
      <c r="C118" s="2058" t="s">
        <v>9</v>
      </c>
      <c r="D118" s="2414" t="s">
        <v>82</v>
      </c>
      <c r="E118" s="162" t="s">
        <v>79</v>
      </c>
      <c r="F118" s="549"/>
      <c r="G118" s="549"/>
      <c r="H118" s="549"/>
      <c r="I118" s="549"/>
      <c r="J118" s="549"/>
      <c r="K118" s="549"/>
      <c r="L118" s="550"/>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1898"/>
      <c r="B120" s="1899"/>
      <c r="C120" s="106">
        <v>2014</v>
      </c>
      <c r="D120" s="31"/>
      <c r="E120" s="174"/>
      <c r="F120" s="175"/>
      <c r="G120" s="175"/>
      <c r="H120" s="175"/>
      <c r="I120" s="175"/>
      <c r="J120" s="175"/>
      <c r="K120" s="175"/>
      <c r="L120" s="176"/>
      <c r="M120" s="185"/>
      <c r="N120" s="185"/>
    </row>
    <row r="121" spans="1:14">
      <c r="A121" s="1891"/>
      <c r="B121" s="1899"/>
      <c r="C121" s="110">
        <v>2015</v>
      </c>
      <c r="D121" s="38"/>
      <c r="E121" s="177"/>
      <c r="F121" s="178"/>
      <c r="G121" s="178"/>
      <c r="H121" s="178"/>
      <c r="I121" s="178"/>
      <c r="J121" s="178"/>
      <c r="K121" s="178"/>
      <c r="L121" s="179"/>
      <c r="M121" s="185"/>
      <c r="N121" s="185"/>
    </row>
    <row r="122" spans="1:14">
      <c r="A122" s="1891"/>
      <c r="B122" s="1899"/>
      <c r="C122" s="110">
        <v>2016</v>
      </c>
      <c r="D122" s="38"/>
      <c r="E122" s="177"/>
      <c r="F122" s="178"/>
      <c r="G122" s="178"/>
      <c r="H122" s="178"/>
      <c r="I122" s="178"/>
      <c r="J122" s="178"/>
      <c r="K122" s="178"/>
      <c r="L122" s="179"/>
      <c r="M122" s="185"/>
      <c r="N122" s="185"/>
    </row>
    <row r="123" spans="1:14">
      <c r="A123" s="1891"/>
      <c r="B123" s="1899"/>
      <c r="C123" s="110">
        <v>2017</v>
      </c>
      <c r="D123" s="38"/>
      <c r="E123" s="177"/>
      <c r="F123" s="178"/>
      <c r="G123" s="178"/>
      <c r="H123" s="178"/>
      <c r="I123" s="178"/>
      <c r="J123" s="178"/>
      <c r="K123" s="178"/>
      <c r="L123" s="179"/>
      <c r="M123" s="185"/>
      <c r="N123" s="185"/>
    </row>
    <row r="124" spans="1:14">
      <c r="A124" s="1891"/>
      <c r="B124" s="1899"/>
      <c r="C124" s="110">
        <v>2018</v>
      </c>
      <c r="D124" s="38"/>
      <c r="E124" s="177"/>
      <c r="F124" s="178"/>
      <c r="G124" s="178"/>
      <c r="H124" s="178"/>
      <c r="I124" s="178"/>
      <c r="J124" s="178"/>
      <c r="K124" s="178"/>
      <c r="L124" s="179"/>
      <c r="M124" s="185"/>
      <c r="N124" s="185"/>
    </row>
    <row r="125" spans="1:14">
      <c r="A125" s="1891"/>
      <c r="B125" s="1899"/>
      <c r="C125" s="110">
        <v>2019</v>
      </c>
      <c r="D125" s="38"/>
      <c r="E125" s="177"/>
      <c r="F125" s="178"/>
      <c r="G125" s="178"/>
      <c r="H125" s="178"/>
      <c r="I125" s="178"/>
      <c r="J125" s="178"/>
      <c r="K125" s="178"/>
      <c r="L125" s="179"/>
      <c r="M125" s="185"/>
      <c r="N125" s="185"/>
    </row>
    <row r="126" spans="1:14">
      <c r="A126" s="1891"/>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051" t="s">
        <v>84</v>
      </c>
      <c r="B129" s="2052" t="s">
        <v>179</v>
      </c>
      <c r="C129" s="1534" t="s">
        <v>9</v>
      </c>
      <c r="D129" s="189" t="s">
        <v>85</v>
      </c>
      <c r="E129" s="553"/>
      <c r="F129" s="553"/>
      <c r="G129" s="191"/>
      <c r="H129" s="185"/>
      <c r="I129" s="185"/>
      <c r="J129" s="185"/>
      <c r="K129" s="185"/>
      <c r="L129" s="185"/>
      <c r="M129" s="185"/>
      <c r="N129" s="185"/>
    </row>
    <row r="130" spans="1:16" ht="77.25" customHeight="1">
      <c r="A130" s="1910"/>
      <c r="B130" s="1912"/>
      <c r="C130" s="1528"/>
      <c r="D130" s="166" t="s">
        <v>86</v>
      </c>
      <c r="E130" s="193" t="s">
        <v>87</v>
      </c>
      <c r="F130" s="167" t="s">
        <v>88</v>
      </c>
      <c r="G130" s="194" t="s">
        <v>13</v>
      </c>
      <c r="H130" s="185"/>
      <c r="I130" s="185"/>
      <c r="J130" s="185"/>
      <c r="K130" s="185"/>
      <c r="L130" s="185"/>
      <c r="M130" s="185"/>
      <c r="N130" s="185"/>
    </row>
    <row r="131" spans="1:16" ht="15" customHeight="1">
      <c r="A131" s="1874"/>
      <c r="B131" s="1855"/>
      <c r="C131" s="106">
        <v>2015</v>
      </c>
      <c r="D131" s="30"/>
      <c r="E131" s="31"/>
      <c r="F131" s="31"/>
      <c r="G131" s="195">
        <f t="shared" ref="G131:G136" si="11">SUM(D131:F131)</f>
        <v>0</v>
      </c>
      <c r="H131" s="185"/>
      <c r="I131" s="185"/>
      <c r="J131" s="185"/>
      <c r="K131" s="185"/>
      <c r="L131" s="185"/>
      <c r="M131" s="185"/>
      <c r="N131" s="185"/>
    </row>
    <row r="132" spans="1:16">
      <c r="A132" s="1854"/>
      <c r="B132" s="1855"/>
      <c r="C132" s="110">
        <v>2016</v>
      </c>
      <c r="D132" s="37"/>
      <c r="E132" s="38"/>
      <c r="F132" s="38"/>
      <c r="G132" s="195">
        <f t="shared" si="11"/>
        <v>0</v>
      </c>
      <c r="H132" s="185"/>
      <c r="I132" s="185"/>
      <c r="J132" s="185"/>
      <c r="K132" s="185"/>
      <c r="L132" s="185"/>
      <c r="M132" s="185"/>
      <c r="N132" s="185"/>
    </row>
    <row r="133" spans="1:16">
      <c r="A133" s="1854"/>
      <c r="B133" s="1855"/>
      <c r="C133" s="110">
        <v>2017</v>
      </c>
      <c r="D133" s="37"/>
      <c r="E133" s="38"/>
      <c r="F133" s="38"/>
      <c r="G133" s="195">
        <f t="shared" si="11"/>
        <v>0</v>
      </c>
      <c r="H133" s="185"/>
      <c r="I133" s="185"/>
      <c r="J133" s="185"/>
      <c r="K133" s="185"/>
      <c r="L133" s="185"/>
      <c r="M133" s="185"/>
      <c r="N133" s="185"/>
    </row>
    <row r="134" spans="1:16">
      <c r="A134" s="1854"/>
      <c r="B134" s="1855"/>
      <c r="C134" s="110">
        <v>2018</v>
      </c>
      <c r="D134" s="37"/>
      <c r="E134" s="38"/>
      <c r="F134" s="38"/>
      <c r="G134" s="195">
        <f t="shared" si="11"/>
        <v>0</v>
      </c>
      <c r="H134" s="185"/>
      <c r="I134" s="185"/>
      <c r="J134" s="185"/>
      <c r="K134" s="185"/>
      <c r="L134" s="185"/>
      <c r="M134" s="185"/>
      <c r="N134" s="185"/>
    </row>
    <row r="135" spans="1:16">
      <c r="A135" s="1854"/>
      <c r="B135" s="1855"/>
      <c r="C135" s="110">
        <v>2019</v>
      </c>
      <c r="D135" s="37"/>
      <c r="E135" s="38"/>
      <c r="F135" s="38"/>
      <c r="G135" s="195">
        <f t="shared" si="11"/>
        <v>0</v>
      </c>
      <c r="H135" s="185"/>
      <c r="I135" s="185"/>
      <c r="J135" s="185"/>
      <c r="K135" s="185"/>
      <c r="L135" s="185"/>
      <c r="M135" s="185"/>
      <c r="N135" s="185"/>
    </row>
    <row r="136" spans="1:16">
      <c r="A136" s="1854"/>
      <c r="B136" s="1855"/>
      <c r="C136" s="110">
        <v>2020</v>
      </c>
      <c r="D136" s="37"/>
      <c r="E136" s="38"/>
      <c r="F136" s="38"/>
      <c r="G136" s="195">
        <f t="shared" si="11"/>
        <v>0</v>
      </c>
      <c r="H136" s="185"/>
      <c r="I136" s="185"/>
      <c r="J136" s="185"/>
      <c r="K136" s="185"/>
      <c r="L136" s="185"/>
      <c r="M136" s="185"/>
      <c r="N136" s="185"/>
    </row>
    <row r="137" spans="1:16" ht="17.25" customHeight="1" thickBot="1">
      <c r="A137" s="1856"/>
      <c r="B137" s="1857"/>
      <c r="C137" s="113" t="s">
        <v>13</v>
      </c>
      <c r="D137" s="139">
        <f>SUM(D131:D136)</f>
        <v>0</v>
      </c>
      <c r="E137" s="139">
        <f t="shared" ref="E137:F137" si="12">SUM(E131:E136)</f>
        <v>0</v>
      </c>
      <c r="F137" s="139">
        <f t="shared" si="12"/>
        <v>0</v>
      </c>
      <c r="G137" s="196">
        <f>SUM(G131:G136)</f>
        <v>0</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050" t="s">
        <v>91</v>
      </c>
      <c r="B142" s="2048" t="s">
        <v>179</v>
      </c>
      <c r="C142" s="2043" t="s">
        <v>9</v>
      </c>
      <c r="D142" s="554" t="s">
        <v>92</v>
      </c>
      <c r="E142" s="555"/>
      <c r="F142" s="555"/>
      <c r="G142" s="555"/>
      <c r="H142" s="555"/>
      <c r="I142" s="556"/>
      <c r="J142" s="2044" t="s">
        <v>93</v>
      </c>
      <c r="K142" s="2045"/>
      <c r="L142" s="2045"/>
      <c r="M142" s="2045"/>
      <c r="N142" s="2046"/>
      <c r="O142" s="165"/>
      <c r="P142" s="165"/>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c r="B144" s="1899"/>
      <c r="C144" s="106">
        <v>2014</v>
      </c>
      <c r="D144" s="30"/>
      <c r="E144" s="30"/>
      <c r="F144" s="31"/>
      <c r="G144" s="175"/>
      <c r="H144" s="175"/>
      <c r="I144" s="213">
        <f>D144+F144+G144+H144</f>
        <v>0</v>
      </c>
      <c r="J144" s="214"/>
      <c r="K144" s="215"/>
      <c r="L144" s="214"/>
      <c r="M144" s="215"/>
      <c r="N144" s="216"/>
      <c r="O144" s="165"/>
      <c r="P144" s="165"/>
    </row>
    <row r="145" spans="1:16" ht="19.5" customHeight="1">
      <c r="A145" s="1891"/>
      <c r="B145" s="1899"/>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1891"/>
      <c r="B146" s="1899"/>
      <c r="C146" s="110">
        <v>2016</v>
      </c>
      <c r="D146" s="37"/>
      <c r="E146" s="37"/>
      <c r="F146" s="38"/>
      <c r="G146" s="178"/>
      <c r="H146" s="178"/>
      <c r="I146" s="213">
        <f t="shared" si="13"/>
        <v>0</v>
      </c>
      <c r="J146" s="217"/>
      <c r="K146" s="218"/>
      <c r="L146" s="217"/>
      <c r="M146" s="218"/>
      <c r="N146" s="219"/>
      <c r="O146" s="165"/>
      <c r="P146" s="165"/>
    </row>
    <row r="147" spans="1:16" ht="17.25" customHeight="1">
      <c r="A147" s="1891"/>
      <c r="B147" s="1899"/>
      <c r="C147" s="110">
        <v>2017</v>
      </c>
      <c r="D147" s="37"/>
      <c r="E147" s="37"/>
      <c r="F147" s="38"/>
      <c r="G147" s="178"/>
      <c r="H147" s="178"/>
      <c r="I147" s="213">
        <f t="shared" si="13"/>
        <v>0</v>
      </c>
      <c r="J147" s="217"/>
      <c r="K147" s="218"/>
      <c r="L147" s="217"/>
      <c r="M147" s="218"/>
      <c r="N147" s="219"/>
      <c r="O147" s="165"/>
      <c r="P147" s="165"/>
    </row>
    <row r="148" spans="1:16" ht="19.5" customHeight="1">
      <c r="A148" s="1891"/>
      <c r="B148" s="1899"/>
      <c r="C148" s="110">
        <v>2018</v>
      </c>
      <c r="D148" s="37"/>
      <c r="E148" s="37"/>
      <c r="F148" s="38"/>
      <c r="G148" s="178"/>
      <c r="H148" s="178"/>
      <c r="I148" s="213">
        <f t="shared" si="13"/>
        <v>0</v>
      </c>
      <c r="J148" s="217"/>
      <c r="K148" s="218"/>
      <c r="L148" s="217"/>
      <c r="M148" s="218"/>
      <c r="N148" s="219"/>
      <c r="O148" s="165"/>
      <c r="P148" s="165"/>
    </row>
    <row r="149" spans="1:16" ht="19.5" customHeight="1">
      <c r="A149" s="1891"/>
      <c r="B149" s="1899"/>
      <c r="C149" s="110">
        <v>2019</v>
      </c>
      <c r="D149" s="37"/>
      <c r="E149" s="37"/>
      <c r="F149" s="38"/>
      <c r="G149" s="178"/>
      <c r="H149" s="178"/>
      <c r="I149" s="213">
        <f t="shared" si="13"/>
        <v>0</v>
      </c>
      <c r="J149" s="217"/>
      <c r="K149" s="218"/>
      <c r="L149" s="217"/>
      <c r="M149" s="218"/>
      <c r="N149" s="219"/>
      <c r="O149" s="165"/>
      <c r="P149" s="165"/>
    </row>
    <row r="150" spans="1:16" ht="18.75" customHeight="1">
      <c r="A150" s="1891"/>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2047" t="s">
        <v>105</v>
      </c>
      <c r="B153" s="2048" t="s">
        <v>179</v>
      </c>
      <c r="C153" s="2049" t="s">
        <v>9</v>
      </c>
      <c r="D153" s="557" t="s">
        <v>106</v>
      </c>
      <c r="E153" s="557"/>
      <c r="F153" s="558"/>
      <c r="G153" s="558"/>
      <c r="H153" s="557" t="s">
        <v>107</v>
      </c>
      <c r="I153" s="557"/>
      <c r="J153" s="559"/>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1898"/>
      <c r="B155" s="1899"/>
      <c r="C155" s="233">
        <v>2014</v>
      </c>
      <c r="D155" s="214"/>
      <c r="E155" s="175"/>
      <c r="F155" s="215"/>
      <c r="G155" s="213">
        <f>SUM(D155:F155)</f>
        <v>0</v>
      </c>
      <c r="H155" s="214"/>
      <c r="I155" s="175"/>
      <c r="J155" s="176"/>
      <c r="O155" s="165"/>
      <c r="P155" s="165"/>
    </row>
    <row r="156" spans="1:16" ht="19.5" customHeight="1">
      <c r="A156" s="1891"/>
      <c r="B156" s="1899"/>
      <c r="C156" s="234">
        <v>2015</v>
      </c>
      <c r="D156" s="217"/>
      <c r="E156" s="178"/>
      <c r="F156" s="218"/>
      <c r="G156" s="213">
        <f t="shared" ref="G156:G161" si="15">SUM(D156:F156)</f>
        <v>0</v>
      </c>
      <c r="H156" s="217"/>
      <c r="I156" s="178"/>
      <c r="J156" s="179"/>
      <c r="O156" s="165"/>
      <c r="P156" s="165"/>
    </row>
    <row r="157" spans="1:16" ht="17.25" customHeight="1">
      <c r="A157" s="1891"/>
      <c r="B157" s="1899"/>
      <c r="C157" s="234">
        <v>2016</v>
      </c>
      <c r="D157" s="217"/>
      <c r="E157" s="178"/>
      <c r="F157" s="218"/>
      <c r="G157" s="213">
        <f t="shared" si="15"/>
        <v>0</v>
      </c>
      <c r="H157" s="217"/>
      <c r="I157" s="178"/>
      <c r="J157" s="179"/>
      <c r="O157" s="165"/>
      <c r="P157" s="165"/>
    </row>
    <row r="158" spans="1:16" ht="15" customHeight="1">
      <c r="A158" s="1891"/>
      <c r="B158" s="1899"/>
      <c r="C158" s="234">
        <v>2017</v>
      </c>
      <c r="D158" s="217"/>
      <c r="E158" s="178"/>
      <c r="F158" s="218"/>
      <c r="G158" s="213">
        <f t="shared" si="15"/>
        <v>0</v>
      </c>
      <c r="H158" s="217"/>
      <c r="I158" s="178"/>
      <c r="J158" s="179"/>
      <c r="O158" s="165"/>
      <c r="P158" s="165"/>
    </row>
    <row r="159" spans="1:16" ht="19.5" customHeight="1">
      <c r="A159" s="1891"/>
      <c r="B159" s="1899"/>
      <c r="C159" s="234">
        <v>2018</v>
      </c>
      <c r="D159" s="217"/>
      <c r="E159" s="178"/>
      <c r="F159" s="218"/>
      <c r="G159" s="213">
        <f t="shared" si="15"/>
        <v>0</v>
      </c>
      <c r="H159" s="217"/>
      <c r="I159" s="178"/>
      <c r="J159" s="179"/>
      <c r="O159" s="165"/>
      <c r="P159" s="165"/>
    </row>
    <row r="160" spans="1:16" ht="15" customHeight="1">
      <c r="A160" s="1891"/>
      <c r="B160" s="1899"/>
      <c r="C160" s="234">
        <v>2019</v>
      </c>
      <c r="D160" s="217"/>
      <c r="E160" s="178"/>
      <c r="F160" s="218"/>
      <c r="G160" s="213">
        <f t="shared" si="15"/>
        <v>0</v>
      </c>
      <c r="H160" s="217"/>
      <c r="I160" s="178"/>
      <c r="J160" s="179"/>
      <c r="O160" s="165"/>
      <c r="P160" s="165"/>
    </row>
    <row r="161" spans="1:18" ht="17.25" customHeight="1">
      <c r="A161" s="1891"/>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560"/>
      <c r="F163" s="165"/>
      <c r="G163" s="165"/>
      <c r="H163" s="165"/>
      <c r="I163" s="165"/>
      <c r="J163" s="241"/>
      <c r="K163" s="242"/>
    </row>
    <row r="164" spans="1:18" ht="95.25" customHeight="1">
      <c r="A164" s="243" t="s">
        <v>115</v>
      </c>
      <c r="B164" s="405" t="s">
        <v>181</v>
      </c>
      <c r="C164" s="1567" t="s">
        <v>9</v>
      </c>
      <c r="D164" s="246" t="s">
        <v>117</v>
      </c>
      <c r="E164" s="246" t="s">
        <v>118</v>
      </c>
      <c r="F164" s="561" t="s">
        <v>119</v>
      </c>
      <c r="G164" s="246" t="s">
        <v>120</v>
      </c>
      <c r="H164" s="246" t="s">
        <v>121</v>
      </c>
      <c r="I164" s="248" t="s">
        <v>122</v>
      </c>
      <c r="J164" s="249" t="s">
        <v>123</v>
      </c>
      <c r="K164" s="249" t="s">
        <v>124</v>
      </c>
      <c r="L164" s="1531"/>
    </row>
    <row r="165" spans="1:18" ht="15.75" customHeight="1">
      <c r="A165" s="1878"/>
      <c r="B165" s="1879"/>
      <c r="C165" s="251">
        <v>2014</v>
      </c>
      <c r="D165" s="175"/>
      <c r="E165" s="175"/>
      <c r="F165" s="175"/>
      <c r="G165" s="175"/>
      <c r="H165" s="175"/>
      <c r="I165" s="176"/>
      <c r="J165" s="1683">
        <f>SUM(D165,F165,H165)</f>
        <v>0</v>
      </c>
      <c r="K165" s="253">
        <f>SUM(E165,G165,I165)</f>
        <v>0</v>
      </c>
      <c r="L165" s="1531"/>
    </row>
    <row r="166" spans="1:18">
      <c r="A166" s="1880"/>
      <c r="B166" s="1881"/>
      <c r="C166" s="254">
        <v>2015</v>
      </c>
      <c r="D166" s="255"/>
      <c r="E166" s="255"/>
      <c r="F166" s="255"/>
      <c r="G166" s="255"/>
      <c r="H166" s="255"/>
      <c r="I166" s="256"/>
      <c r="J166" s="1684">
        <f t="shared" ref="J166:K171" si="17">SUM(D166,F166,H166)</f>
        <v>0</v>
      </c>
      <c r="K166" s="408">
        <f t="shared" si="17"/>
        <v>0</v>
      </c>
      <c r="L166" s="1531"/>
    </row>
    <row r="167" spans="1:18">
      <c r="A167" s="1880"/>
      <c r="B167" s="1881"/>
      <c r="C167" s="254">
        <v>2016</v>
      </c>
      <c r="D167" s="255"/>
      <c r="E167" s="255"/>
      <c r="F167" s="255"/>
      <c r="G167" s="255"/>
      <c r="H167" s="255"/>
      <c r="I167" s="256"/>
      <c r="J167" s="1684">
        <f t="shared" si="17"/>
        <v>0</v>
      </c>
      <c r="K167" s="408">
        <f t="shared" si="17"/>
        <v>0</v>
      </c>
    </row>
    <row r="168" spans="1:18">
      <c r="A168" s="1880"/>
      <c r="B168" s="1881"/>
      <c r="C168" s="254">
        <v>2017</v>
      </c>
      <c r="D168" s="255"/>
      <c r="E168" s="165"/>
      <c r="F168" s="255"/>
      <c r="G168" s="255"/>
      <c r="H168" s="255"/>
      <c r="I168" s="256"/>
      <c r="J168" s="1684">
        <f t="shared" si="17"/>
        <v>0</v>
      </c>
      <c r="K168" s="408">
        <f t="shared" si="17"/>
        <v>0</v>
      </c>
    </row>
    <row r="169" spans="1:18">
      <c r="A169" s="1880"/>
      <c r="B169" s="1881"/>
      <c r="C169" s="262">
        <v>2018</v>
      </c>
      <c r="D169" s="255"/>
      <c r="E169" s="255"/>
      <c r="F169" s="255"/>
      <c r="G169" s="263"/>
      <c r="H169" s="255"/>
      <c r="I169" s="256"/>
      <c r="J169" s="1684">
        <f t="shared" si="17"/>
        <v>0</v>
      </c>
      <c r="K169" s="408">
        <f t="shared" si="17"/>
        <v>0</v>
      </c>
      <c r="L169" s="1531"/>
    </row>
    <row r="170" spans="1:18">
      <c r="A170" s="1880"/>
      <c r="B170" s="1881"/>
      <c r="C170" s="254">
        <v>2019</v>
      </c>
      <c r="D170" s="165"/>
      <c r="E170" s="255"/>
      <c r="F170" s="255"/>
      <c r="G170" s="255"/>
      <c r="H170" s="263"/>
      <c r="I170" s="256"/>
      <c r="J170" s="1684">
        <f t="shared" si="17"/>
        <v>0</v>
      </c>
      <c r="K170" s="408">
        <f t="shared" si="17"/>
        <v>0</v>
      </c>
      <c r="L170" s="1531"/>
    </row>
    <row r="171" spans="1:18">
      <c r="A171" s="1880"/>
      <c r="B171" s="1881"/>
      <c r="C171" s="262">
        <v>2020</v>
      </c>
      <c r="D171" s="255"/>
      <c r="E171" s="255"/>
      <c r="F171" s="255"/>
      <c r="G171" s="255"/>
      <c r="H171" s="255"/>
      <c r="I171" s="256"/>
      <c r="J171" s="1684">
        <f t="shared" si="17"/>
        <v>0</v>
      </c>
      <c r="K171" s="408">
        <f t="shared" si="17"/>
        <v>0</v>
      </c>
      <c r="L171" s="1531"/>
    </row>
    <row r="172" spans="1:18" ht="41.25" customHeight="1" thickBot="1">
      <c r="A172" s="1882"/>
      <c r="B172" s="1883"/>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1531"/>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039" t="s">
        <v>127</v>
      </c>
      <c r="B176" s="2037" t="s">
        <v>182</v>
      </c>
      <c r="C176" s="2040" t="s">
        <v>9</v>
      </c>
      <c r="D176" s="273" t="s">
        <v>128</v>
      </c>
      <c r="E176" s="562"/>
      <c r="F176" s="562"/>
      <c r="G176" s="563"/>
      <c r="H176" s="276"/>
      <c r="I176" s="1888" t="s">
        <v>129</v>
      </c>
      <c r="J176" s="2041"/>
      <c r="K176" s="2041"/>
      <c r="L176" s="2041"/>
      <c r="M176" s="2041"/>
      <c r="N176" s="2041"/>
      <c r="O176" s="2042"/>
    </row>
    <row r="177" spans="1:15" s="56" customFormat="1" ht="129.75" customHeight="1">
      <c r="A177" s="2469"/>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1891" t="s">
        <v>472</v>
      </c>
      <c r="B178" s="1899"/>
      <c r="C178" s="106">
        <v>2014</v>
      </c>
      <c r="D178" s="30"/>
      <c r="E178" s="31"/>
      <c r="F178" s="31"/>
      <c r="G178" s="284">
        <f>SUM(D178:F178)</f>
        <v>0</v>
      </c>
      <c r="H178" s="155"/>
      <c r="I178" s="155"/>
      <c r="J178" s="31"/>
      <c r="K178" s="31"/>
      <c r="L178" s="31"/>
      <c r="M178" s="31"/>
      <c r="N178" s="31"/>
      <c r="O178" s="34"/>
    </row>
    <row r="179" spans="1:15">
      <c r="A179" s="1891"/>
      <c r="B179" s="1899"/>
      <c r="C179" s="110">
        <v>2015</v>
      </c>
      <c r="D179" s="37"/>
      <c r="E179" s="38">
        <v>1</v>
      </c>
      <c r="F179" s="38"/>
      <c r="G179" s="284">
        <f t="shared" ref="G179:G184" si="19">SUM(D179:F179)</f>
        <v>1</v>
      </c>
      <c r="H179" s="411"/>
      <c r="I179" s="112"/>
      <c r="J179" s="38">
        <v>1</v>
      </c>
      <c r="K179" s="38"/>
      <c r="L179" s="38"/>
      <c r="M179" s="38"/>
      <c r="N179" s="38"/>
      <c r="O179" s="88"/>
    </row>
    <row r="180" spans="1:15">
      <c r="A180" s="1891"/>
      <c r="B180" s="1899"/>
      <c r="C180" s="110">
        <v>2016</v>
      </c>
      <c r="D180" s="37">
        <v>19</v>
      </c>
      <c r="E180" s="38">
        <v>2</v>
      </c>
      <c r="F180" s="38"/>
      <c r="G180" s="284">
        <f t="shared" si="19"/>
        <v>21</v>
      </c>
      <c r="H180" s="411">
        <v>22</v>
      </c>
      <c r="I180" s="112">
        <v>20</v>
      </c>
      <c r="J180" s="38">
        <v>1</v>
      </c>
      <c r="K180" s="38"/>
      <c r="L180" s="38"/>
      <c r="M180" s="38"/>
      <c r="N180" s="38"/>
      <c r="O180" s="88"/>
    </row>
    <row r="181" spans="1:15">
      <c r="A181" s="1891"/>
      <c r="B181" s="1899"/>
      <c r="C181" s="110">
        <v>2017</v>
      </c>
      <c r="D181" s="37"/>
      <c r="E181" s="38">
        <v>3</v>
      </c>
      <c r="F181" s="38">
        <v>2</v>
      </c>
      <c r="G181" s="284">
        <f t="shared" si="19"/>
        <v>5</v>
      </c>
      <c r="H181" s="411">
        <v>9</v>
      </c>
      <c r="I181" s="112">
        <v>5</v>
      </c>
      <c r="J181" s="38"/>
      <c r="K181" s="38"/>
      <c r="L181" s="38"/>
      <c r="M181" s="38"/>
      <c r="N181" s="38"/>
      <c r="O181" s="88"/>
    </row>
    <row r="182" spans="1:15">
      <c r="A182" s="1891"/>
      <c r="B182" s="1899"/>
      <c r="C182" s="110">
        <v>2018</v>
      </c>
      <c r="D182" s="37"/>
      <c r="E182" s="38"/>
      <c r="F182" s="38"/>
      <c r="G182" s="284">
        <f t="shared" si="19"/>
        <v>0</v>
      </c>
      <c r="H182" s="411"/>
      <c r="I182" s="112"/>
      <c r="J182" s="38"/>
      <c r="K182" s="38"/>
      <c r="L182" s="38"/>
      <c r="M182" s="38"/>
      <c r="N182" s="38"/>
      <c r="O182" s="88"/>
    </row>
    <row r="183" spans="1:15">
      <c r="A183" s="1891"/>
      <c r="B183" s="1899"/>
      <c r="C183" s="110">
        <v>2019</v>
      </c>
      <c r="D183" s="37"/>
      <c r="E183" s="38"/>
      <c r="F183" s="38"/>
      <c r="G183" s="284">
        <f t="shared" si="19"/>
        <v>0</v>
      </c>
      <c r="H183" s="411"/>
      <c r="I183" s="112"/>
      <c r="J183" s="38"/>
      <c r="K183" s="38"/>
      <c r="L183" s="38"/>
      <c r="M183" s="38"/>
      <c r="N183" s="38"/>
      <c r="O183" s="88"/>
    </row>
    <row r="184" spans="1:15">
      <c r="A184" s="1891"/>
      <c r="B184" s="1899"/>
      <c r="C184" s="110">
        <v>2020</v>
      </c>
      <c r="D184" s="37"/>
      <c r="E184" s="38"/>
      <c r="F184" s="38"/>
      <c r="G184" s="284">
        <f t="shared" si="19"/>
        <v>0</v>
      </c>
      <c r="H184" s="411"/>
      <c r="I184" s="112"/>
      <c r="J184" s="38"/>
      <c r="K184" s="38"/>
      <c r="L184" s="38"/>
      <c r="M184" s="38"/>
      <c r="N184" s="38"/>
      <c r="O184" s="88"/>
    </row>
    <row r="185" spans="1:15" ht="45" customHeight="1" thickBot="1">
      <c r="A185" s="1893"/>
      <c r="B185" s="1900"/>
      <c r="C185" s="113" t="s">
        <v>13</v>
      </c>
      <c r="D185" s="139">
        <f>SUM(D178:D184)</f>
        <v>19</v>
      </c>
      <c r="E185" s="116">
        <f>SUM(E178:E184)</f>
        <v>6</v>
      </c>
      <c r="F185" s="116">
        <f>SUM(F178:F184)</f>
        <v>2</v>
      </c>
      <c r="G185" s="220">
        <f t="shared" ref="G185:O185" si="20">SUM(G178:G184)</f>
        <v>27</v>
      </c>
      <c r="H185" s="285">
        <f t="shared" si="20"/>
        <v>31</v>
      </c>
      <c r="I185" s="115">
        <f t="shared" si="20"/>
        <v>25</v>
      </c>
      <c r="J185" s="116">
        <f t="shared" si="20"/>
        <v>2</v>
      </c>
      <c r="K185" s="116">
        <f t="shared" si="20"/>
        <v>0</v>
      </c>
      <c r="L185" s="116">
        <f t="shared" si="20"/>
        <v>0</v>
      </c>
      <c r="M185" s="116">
        <f t="shared" si="20"/>
        <v>0</v>
      </c>
      <c r="N185" s="116">
        <f t="shared" si="20"/>
        <v>0</v>
      </c>
      <c r="O185" s="117">
        <f t="shared" si="20"/>
        <v>0</v>
      </c>
    </row>
    <row r="186" spans="1:15" ht="33" customHeight="1" thickBot="1"/>
    <row r="187" spans="1:15" ht="19.5" customHeight="1">
      <c r="A187" s="1861" t="s">
        <v>137</v>
      </c>
      <c r="B187" s="2037" t="s">
        <v>182</v>
      </c>
      <c r="C187" s="1865" t="s">
        <v>9</v>
      </c>
      <c r="D187" s="1867" t="s">
        <v>138</v>
      </c>
      <c r="E187" s="2038"/>
      <c r="F187" s="2038"/>
      <c r="G187" s="1869"/>
      <c r="H187" s="1870"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1976" t="s">
        <v>473</v>
      </c>
      <c r="B189" s="1977"/>
      <c r="C189" s="290">
        <v>2014</v>
      </c>
      <c r="D189" s="133"/>
      <c r="E189" s="109"/>
      <c r="F189" s="109"/>
      <c r="G189" s="291">
        <f>SUM(D189:F189)</f>
        <v>0</v>
      </c>
      <c r="H189" s="108"/>
      <c r="I189" s="109"/>
      <c r="J189" s="109"/>
      <c r="K189" s="109"/>
      <c r="L189" s="134"/>
    </row>
    <row r="190" spans="1:15">
      <c r="A190" s="1978"/>
      <c r="B190" s="1855"/>
      <c r="C190" s="73">
        <v>2015</v>
      </c>
      <c r="D190" s="37"/>
      <c r="E190" s="38">
        <v>28</v>
      </c>
      <c r="F190" s="38"/>
      <c r="G190" s="291">
        <f t="shared" ref="G190:G195" si="21">SUM(D190:F190)</f>
        <v>28</v>
      </c>
      <c r="H190" s="112"/>
      <c r="I190" s="38">
        <v>2</v>
      </c>
      <c r="J190" s="38">
        <v>11</v>
      </c>
      <c r="K190" s="38">
        <v>0</v>
      </c>
      <c r="L190" s="88">
        <v>15</v>
      </c>
    </row>
    <row r="191" spans="1:15">
      <c r="A191" s="1978"/>
      <c r="B191" s="1855"/>
      <c r="C191" s="73">
        <v>2016</v>
      </c>
      <c r="D191" s="37">
        <v>226</v>
      </c>
      <c r="E191" s="38">
        <v>98</v>
      </c>
      <c r="F191" s="38"/>
      <c r="G191" s="291">
        <f t="shared" si="21"/>
        <v>324</v>
      </c>
      <c r="H191" s="112"/>
      <c r="I191" s="38">
        <v>7</v>
      </c>
      <c r="J191" s="38">
        <v>92</v>
      </c>
      <c r="K191" s="38">
        <v>39</v>
      </c>
      <c r="L191" s="88">
        <v>186</v>
      </c>
    </row>
    <row r="192" spans="1:15">
      <c r="A192" s="1978"/>
      <c r="B192" s="1855"/>
      <c r="C192" s="73">
        <v>2017</v>
      </c>
      <c r="D192" s="37"/>
      <c r="E192" s="38">
        <v>130</v>
      </c>
      <c r="F192" s="38">
        <v>156</v>
      </c>
      <c r="G192" s="291">
        <f t="shared" si="21"/>
        <v>286</v>
      </c>
      <c r="H192" s="600"/>
      <c r="I192" s="91">
        <v>15</v>
      </c>
      <c r="J192" s="91">
        <v>89</v>
      </c>
      <c r="K192" s="91">
        <v>14</v>
      </c>
      <c r="L192" s="603">
        <v>168</v>
      </c>
    </row>
    <row r="193" spans="1:14">
      <c r="A193" s="1978"/>
      <c r="B193" s="1855"/>
      <c r="C193" s="73">
        <v>2018</v>
      </c>
      <c r="D193" s="37"/>
      <c r="E193" s="38"/>
      <c r="F193" s="38"/>
      <c r="G193" s="291">
        <f t="shared" si="21"/>
        <v>0</v>
      </c>
      <c r="H193" s="112"/>
      <c r="I193" s="38"/>
      <c r="J193" s="38"/>
      <c r="K193" s="38"/>
      <c r="L193" s="88"/>
    </row>
    <row r="194" spans="1:14">
      <c r="A194" s="1978"/>
      <c r="B194" s="1855"/>
      <c r="C194" s="73">
        <v>2019</v>
      </c>
      <c r="D194" s="37"/>
      <c r="E194" s="38"/>
      <c r="F194" s="38"/>
      <c r="G194" s="291">
        <f t="shared" si="21"/>
        <v>0</v>
      </c>
      <c r="H194" s="112"/>
      <c r="I194" s="38"/>
      <c r="J194" s="38"/>
      <c r="K194" s="38"/>
      <c r="L194" s="88"/>
    </row>
    <row r="195" spans="1:14">
      <c r="A195" s="1978"/>
      <c r="B195" s="1855"/>
      <c r="C195" s="73">
        <v>2020</v>
      </c>
      <c r="D195" s="37"/>
      <c r="E195" s="38"/>
      <c r="F195" s="38"/>
      <c r="G195" s="291">
        <f t="shared" si="21"/>
        <v>0</v>
      </c>
      <c r="H195" s="112"/>
      <c r="I195" s="38"/>
      <c r="J195" s="38"/>
      <c r="K195" s="38"/>
      <c r="L195" s="88"/>
    </row>
    <row r="196" spans="1:14" ht="15.75" thickBot="1">
      <c r="A196" s="1979"/>
      <c r="B196" s="1857"/>
      <c r="C196" s="136" t="s">
        <v>13</v>
      </c>
      <c r="D196" s="139">
        <f t="shared" ref="D196:L196" si="22">SUM(D189:D195)</f>
        <v>226</v>
      </c>
      <c r="E196" s="116">
        <f t="shared" si="22"/>
        <v>256</v>
      </c>
      <c r="F196" s="116">
        <f t="shared" si="22"/>
        <v>156</v>
      </c>
      <c r="G196" s="292">
        <f t="shared" si="22"/>
        <v>638</v>
      </c>
      <c r="H196" s="115">
        <f t="shared" si="22"/>
        <v>0</v>
      </c>
      <c r="I196" s="116">
        <f t="shared" si="22"/>
        <v>24</v>
      </c>
      <c r="J196" s="116">
        <f t="shared" si="22"/>
        <v>192</v>
      </c>
      <c r="K196" s="116">
        <f t="shared" si="22"/>
        <v>53</v>
      </c>
      <c r="L196" s="117">
        <f t="shared" si="22"/>
        <v>369</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569" t="s">
        <v>150</v>
      </c>
      <c r="B201" s="417" t="s">
        <v>182</v>
      </c>
      <c r="C201" s="298" t="s">
        <v>9</v>
      </c>
      <c r="D201" s="299" t="s">
        <v>151</v>
      </c>
      <c r="E201" s="300" t="s">
        <v>152</v>
      </c>
      <c r="F201" s="300" t="s">
        <v>153</v>
      </c>
      <c r="G201" s="298" t="s">
        <v>154</v>
      </c>
      <c r="H201" s="570" t="s">
        <v>155</v>
      </c>
      <c r="I201" s="302" t="s">
        <v>156</v>
      </c>
      <c r="J201" s="303" t="s">
        <v>157</v>
      </c>
      <c r="K201" s="300" t="s">
        <v>158</v>
      </c>
      <c r="L201" s="304" t="s">
        <v>159</v>
      </c>
    </row>
    <row r="202" spans="1:14" ht="15" customHeight="1">
      <c r="A202" s="1854"/>
      <c r="B202" s="1855"/>
      <c r="C202" s="72">
        <v>2014</v>
      </c>
      <c r="D202" s="30"/>
      <c r="E202" s="31"/>
      <c r="F202" s="31"/>
      <c r="G202" s="29"/>
      <c r="H202" s="305"/>
      <c r="I202" s="306"/>
      <c r="J202" s="307"/>
      <c r="K202" s="31"/>
      <c r="L202" s="34"/>
    </row>
    <row r="203" spans="1:14">
      <c r="A203" s="1854"/>
      <c r="B203" s="1855"/>
      <c r="C203" s="73">
        <v>2015</v>
      </c>
      <c r="D203" s="37"/>
      <c r="E203" s="38"/>
      <c r="F203" s="38"/>
      <c r="G203" s="36"/>
      <c r="H203" s="308"/>
      <c r="I203" s="309"/>
      <c r="J203" s="310"/>
      <c r="K203" s="38"/>
      <c r="L203" s="88"/>
    </row>
    <row r="204" spans="1:14">
      <c r="A204" s="1854"/>
      <c r="B204" s="1855"/>
      <c r="C204" s="73">
        <v>2016</v>
      </c>
      <c r="D204" s="37"/>
      <c r="E204" s="38"/>
      <c r="F204" s="38"/>
      <c r="G204" s="36"/>
      <c r="H204" s="308"/>
      <c r="I204" s="309"/>
      <c r="J204" s="310"/>
      <c r="K204" s="38"/>
      <c r="L204" s="88"/>
    </row>
    <row r="205" spans="1:14">
      <c r="A205" s="1854"/>
      <c r="B205" s="1855"/>
      <c r="C205" s="73">
        <v>2017</v>
      </c>
      <c r="D205" s="37"/>
      <c r="E205" s="38"/>
      <c r="F205" s="38"/>
      <c r="G205" s="36"/>
      <c r="H205" s="308"/>
      <c r="I205" s="309"/>
      <c r="J205" s="310"/>
      <c r="K205" s="38"/>
      <c r="L205" s="88"/>
    </row>
    <row r="206" spans="1:14">
      <c r="A206" s="1854"/>
      <c r="B206" s="1855"/>
      <c r="C206" s="73">
        <v>2018</v>
      </c>
      <c r="D206" s="37"/>
      <c r="E206" s="38"/>
      <c r="F206" s="38"/>
      <c r="G206" s="36"/>
      <c r="H206" s="308"/>
      <c r="I206" s="309"/>
      <c r="J206" s="310"/>
      <c r="K206" s="38"/>
      <c r="L206" s="88"/>
    </row>
    <row r="207" spans="1:14">
      <c r="A207" s="1854"/>
      <c r="B207" s="1855"/>
      <c r="C207" s="73">
        <v>2019</v>
      </c>
      <c r="D207" s="37"/>
      <c r="E207" s="38"/>
      <c r="F207" s="38"/>
      <c r="G207" s="36"/>
      <c r="H207" s="308"/>
      <c r="I207" s="309"/>
      <c r="J207" s="310"/>
      <c r="K207" s="38"/>
      <c r="L207" s="88"/>
    </row>
    <row r="208" spans="1:14">
      <c r="A208" s="1854"/>
      <c r="B208" s="1855"/>
      <c r="C208" s="73">
        <v>2020</v>
      </c>
      <c r="D208" s="1533"/>
      <c r="E208" s="312"/>
      <c r="F208" s="312"/>
      <c r="G208" s="313"/>
      <c r="H208" s="314"/>
      <c r="I208" s="315"/>
      <c r="J208" s="316"/>
      <c r="K208" s="312"/>
      <c r="L208" s="317"/>
    </row>
    <row r="209" spans="1:12" ht="20.25" customHeight="1" thickBot="1">
      <c r="A209" s="1856"/>
      <c r="B209" s="1857"/>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0</v>
      </c>
      <c r="K209" s="139">
        <f t="shared" si="23"/>
        <v>0</v>
      </c>
      <c r="L209" s="139">
        <f t="shared" si="23"/>
        <v>0</v>
      </c>
    </row>
    <row r="211" spans="1:12" ht="15.75" thickBot="1"/>
    <row r="212" spans="1:12" ht="29.25">
      <c r="A212" s="571" t="s">
        <v>161</v>
      </c>
      <c r="B212" s="322" t="s">
        <v>162</v>
      </c>
      <c r="C212" s="323">
        <v>2014</v>
      </c>
      <c r="D212" s="324">
        <v>2015</v>
      </c>
      <c r="E212" s="324">
        <v>2016</v>
      </c>
      <c r="F212" s="324">
        <v>2017</v>
      </c>
      <c r="G212" s="324">
        <v>2018</v>
      </c>
      <c r="H212" s="324">
        <v>2019</v>
      </c>
      <c r="I212" s="325">
        <v>2020</v>
      </c>
    </row>
    <row r="213" spans="1:12" ht="15" customHeight="1">
      <c r="A213" t="s">
        <v>163</v>
      </c>
      <c r="B213" s="1973" t="s">
        <v>474</v>
      </c>
      <c r="C213" s="72"/>
      <c r="D213" s="135">
        <v>8960.01</v>
      </c>
      <c r="E213" s="135">
        <v>73629.61</v>
      </c>
      <c r="F213" s="512">
        <v>91547.39</v>
      </c>
      <c r="G213" s="135"/>
      <c r="H213" s="135"/>
      <c r="I213" s="326"/>
    </row>
    <row r="214" spans="1:12">
      <c r="A214" t="s">
        <v>164</v>
      </c>
      <c r="B214" s="1974"/>
      <c r="C214" s="72"/>
      <c r="D214" s="135">
        <v>8960.01</v>
      </c>
      <c r="E214" s="135">
        <v>73629.61</v>
      </c>
      <c r="F214" s="512">
        <v>91547.39</v>
      </c>
      <c r="G214" s="135"/>
      <c r="H214" s="135"/>
      <c r="I214" s="326"/>
    </row>
    <row r="215" spans="1:12">
      <c r="A215" t="s">
        <v>165</v>
      </c>
      <c r="B215" s="1974"/>
      <c r="C215" s="72"/>
      <c r="D215" s="135"/>
      <c r="E215" s="135"/>
      <c r="F215" s="135"/>
      <c r="G215" s="135"/>
      <c r="H215" s="135"/>
      <c r="I215" s="326"/>
    </row>
    <row r="216" spans="1:12">
      <c r="A216" t="s">
        <v>166</v>
      </c>
      <c r="B216" s="1974"/>
      <c r="C216" s="72"/>
      <c r="D216" s="135"/>
      <c r="E216" s="135"/>
      <c r="F216" s="135"/>
      <c r="G216" s="135"/>
      <c r="H216" s="135"/>
      <c r="I216" s="326"/>
    </row>
    <row r="217" spans="1:12">
      <c r="A217" t="s">
        <v>167</v>
      </c>
      <c r="B217" s="1974"/>
      <c r="C217" s="72"/>
      <c r="D217" s="135"/>
      <c r="E217" s="135"/>
      <c r="F217" s="135"/>
      <c r="G217" s="135"/>
      <c r="H217" s="135"/>
      <c r="I217" s="326"/>
    </row>
    <row r="218" spans="1:12" ht="30">
      <c r="A218" s="56" t="s">
        <v>168</v>
      </c>
      <c r="B218" s="1974"/>
      <c r="C218" s="72"/>
      <c r="D218" s="135">
        <v>95116.93</v>
      </c>
      <c r="E218" s="512">
        <v>70535.520000000004</v>
      </c>
      <c r="F218" s="512">
        <f>68115.61-274.14</f>
        <v>67841.47</v>
      </c>
      <c r="G218" s="135"/>
      <c r="H218" s="135"/>
      <c r="I218" s="326"/>
    </row>
    <row r="219" spans="1:12" ht="65.25" customHeight="1" thickBot="1">
      <c r="A219" s="1532"/>
      <c r="B219" s="1975"/>
      <c r="C219" s="42" t="s">
        <v>13</v>
      </c>
      <c r="D219" s="333">
        <f>SUM(D214:D218)</f>
        <v>104076.93999999999</v>
      </c>
      <c r="E219" s="333">
        <f t="shared" ref="E219:I219" si="24">SUM(E214:E218)</f>
        <v>144165.13</v>
      </c>
      <c r="F219" s="333">
        <f t="shared" si="24"/>
        <v>159388.85999999999</v>
      </c>
      <c r="G219" s="333">
        <f t="shared" si="24"/>
        <v>0</v>
      </c>
      <c r="H219" s="333">
        <f t="shared" si="24"/>
        <v>0</v>
      </c>
      <c r="I219" s="42">
        <f t="shared" si="24"/>
        <v>0</v>
      </c>
    </row>
    <row r="227" spans="1:1">
      <c r="A227" s="56"/>
    </row>
  </sheetData>
  <mergeCells count="55">
    <mergeCell ref="A28:B35"/>
    <mergeCell ref="F3:O3"/>
    <mergeCell ref="A4:O10"/>
    <mergeCell ref="D15:G15"/>
    <mergeCell ref="A17:B24"/>
    <mergeCell ref="D26:G26"/>
    <mergeCell ref="C60:C61"/>
    <mergeCell ref="D60:D61"/>
    <mergeCell ref="A62:B69"/>
    <mergeCell ref="A72:B79"/>
    <mergeCell ref="A85:B92"/>
    <mergeCell ref="A120:B127"/>
    <mergeCell ref="A129:A130"/>
    <mergeCell ref="A40:B47"/>
    <mergeCell ref="A50:B58"/>
    <mergeCell ref="A60:A61"/>
    <mergeCell ref="A96:A97"/>
    <mergeCell ref="B96:B97"/>
    <mergeCell ref="A109:B116"/>
    <mergeCell ref="A107:A108"/>
    <mergeCell ref="A118:A119"/>
    <mergeCell ref="B118:B119"/>
    <mergeCell ref="B129:B130"/>
    <mergeCell ref="C118:C119"/>
    <mergeCell ref="B107:B108"/>
    <mergeCell ref="C96:C97"/>
    <mergeCell ref="D96:E96"/>
    <mergeCell ref="A98:B105"/>
    <mergeCell ref="C107:C108"/>
    <mergeCell ref="D107:D108"/>
    <mergeCell ref="D118:D119"/>
    <mergeCell ref="J142:N142"/>
    <mergeCell ref="A153:A154"/>
    <mergeCell ref="B153:B154"/>
    <mergeCell ref="C153:C154"/>
    <mergeCell ref="A144:B151"/>
    <mergeCell ref="B142:B143"/>
    <mergeCell ref="C142:C143"/>
    <mergeCell ref="A131:B137"/>
    <mergeCell ref="A142:A143"/>
    <mergeCell ref="A155:B162"/>
    <mergeCell ref="A165:B172"/>
    <mergeCell ref="A189:B196"/>
    <mergeCell ref="A202:B209"/>
    <mergeCell ref="B213:B219"/>
    <mergeCell ref="I176:O176"/>
    <mergeCell ref="A178:B185"/>
    <mergeCell ref="A187:A188"/>
    <mergeCell ref="B187:B188"/>
    <mergeCell ref="C187:C188"/>
    <mergeCell ref="D187:G187"/>
    <mergeCell ref="H187:L187"/>
    <mergeCell ref="A176:A177"/>
    <mergeCell ref="B176:B177"/>
    <mergeCell ref="C176:C17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7"/>
  <sheetViews>
    <sheetView topLeftCell="A13" workbookViewId="0">
      <selection activeCell="D219" sqref="D219:F219"/>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475</v>
      </c>
      <c r="C1" s="1944"/>
      <c r="D1" s="1944"/>
      <c r="E1" s="1944"/>
      <c r="F1" s="1944"/>
    </row>
    <row r="2" spans="1:25" s="1" customFormat="1" ht="20.100000000000001" customHeight="1" thickBot="1"/>
    <row r="3" spans="1:25" s="4" customFormat="1" ht="20.100000000000001" customHeight="1">
      <c r="A3" s="1536" t="s">
        <v>2</v>
      </c>
      <c r="B3" s="1585"/>
      <c r="C3" s="1585"/>
      <c r="D3" s="1585"/>
      <c r="E3" s="1585"/>
      <c r="F3" s="2418"/>
      <c r="G3" s="2418"/>
      <c r="H3" s="2418"/>
      <c r="I3" s="2418"/>
      <c r="J3" s="2418"/>
      <c r="K3" s="2418"/>
      <c r="L3" s="2418"/>
      <c r="M3" s="2418"/>
      <c r="N3" s="2418"/>
      <c r="O3" s="2522"/>
    </row>
    <row r="4" spans="1:25" s="4" customFormat="1" ht="20.100000000000001" customHeight="1">
      <c r="A4" s="2420" t="s">
        <v>170</v>
      </c>
      <c r="B4" s="1948"/>
      <c r="C4" s="1948"/>
      <c r="D4" s="1948"/>
      <c r="E4" s="1948"/>
      <c r="F4" s="1948"/>
      <c r="G4" s="1948"/>
      <c r="H4" s="1948"/>
      <c r="I4" s="1948"/>
      <c r="J4" s="1948"/>
      <c r="K4" s="1948"/>
      <c r="L4" s="1948"/>
      <c r="M4" s="1948"/>
      <c r="N4" s="1948"/>
      <c r="O4" s="1949"/>
    </row>
    <row r="5" spans="1:25" s="4" customFormat="1" ht="20.100000000000001" customHeight="1">
      <c r="A5" s="2420"/>
      <c r="B5" s="1948"/>
      <c r="C5" s="1948"/>
      <c r="D5" s="1948"/>
      <c r="E5" s="1948"/>
      <c r="F5" s="1948"/>
      <c r="G5" s="1948"/>
      <c r="H5" s="1948"/>
      <c r="I5" s="1948"/>
      <c r="J5" s="1948"/>
      <c r="K5" s="1948"/>
      <c r="L5" s="1948"/>
      <c r="M5" s="1948"/>
      <c r="N5" s="1948"/>
      <c r="O5" s="1949"/>
    </row>
    <row r="6" spans="1:25" s="4" customFormat="1" ht="20.100000000000001" customHeight="1">
      <c r="A6" s="2420"/>
      <c r="B6" s="1948"/>
      <c r="C6" s="1948"/>
      <c r="D6" s="1948"/>
      <c r="E6" s="1948"/>
      <c r="F6" s="1948"/>
      <c r="G6" s="1948"/>
      <c r="H6" s="1948"/>
      <c r="I6" s="1948"/>
      <c r="J6" s="1948"/>
      <c r="K6" s="1948"/>
      <c r="L6" s="1948"/>
      <c r="M6" s="1948"/>
      <c r="N6" s="1948"/>
      <c r="O6" s="1949"/>
    </row>
    <row r="7" spans="1:25" s="4" customFormat="1" ht="20.100000000000001" customHeight="1">
      <c r="A7" s="2420"/>
      <c r="B7" s="1948"/>
      <c r="C7" s="1948"/>
      <c r="D7" s="1948"/>
      <c r="E7" s="1948"/>
      <c r="F7" s="1948"/>
      <c r="G7" s="1948"/>
      <c r="H7" s="1948"/>
      <c r="I7" s="1948"/>
      <c r="J7" s="1948"/>
      <c r="K7" s="1948"/>
      <c r="L7" s="1948"/>
      <c r="M7" s="1948"/>
      <c r="N7" s="1948"/>
      <c r="O7" s="1949"/>
    </row>
    <row r="8" spans="1:25" s="4" customFormat="1" ht="20.100000000000001" customHeight="1">
      <c r="A8" s="2420"/>
      <c r="B8" s="1948"/>
      <c r="C8" s="1948"/>
      <c r="D8" s="1948"/>
      <c r="E8" s="1948"/>
      <c r="F8" s="1948"/>
      <c r="G8" s="1948"/>
      <c r="H8" s="1948"/>
      <c r="I8" s="1948"/>
      <c r="J8" s="1948"/>
      <c r="K8" s="1948"/>
      <c r="L8" s="1948"/>
      <c r="M8" s="1948"/>
      <c r="N8" s="1948"/>
      <c r="O8" s="1949"/>
    </row>
    <row r="9" spans="1:25" s="4" customFormat="1" ht="20.100000000000001" customHeight="1">
      <c r="A9" s="2420"/>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515"/>
      <c r="B15" s="516"/>
      <c r="C15" s="10"/>
      <c r="D15" s="1953" t="s">
        <v>5</v>
      </c>
      <c r="E15" s="2012"/>
      <c r="F15" s="2012"/>
      <c r="G15" s="2012"/>
      <c r="H15" s="11"/>
      <c r="I15" s="12" t="s">
        <v>6</v>
      </c>
      <c r="J15" s="13"/>
      <c r="K15" s="13"/>
      <c r="L15" s="13"/>
      <c r="M15" s="13"/>
      <c r="N15" s="13"/>
      <c r="O15" s="14"/>
      <c r="P15" s="15"/>
      <c r="Q15" s="16"/>
      <c r="R15" s="17"/>
      <c r="S15" s="17"/>
      <c r="T15" s="17"/>
      <c r="U15" s="17"/>
      <c r="V15" s="17"/>
      <c r="W15" s="15"/>
      <c r="X15" s="15"/>
      <c r="Y15" s="16"/>
    </row>
    <row r="16" spans="1:25" s="56" customFormat="1" ht="129" customHeight="1">
      <c r="A16" s="1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2053"/>
      <c r="B17" s="2622" t="s">
        <v>476</v>
      </c>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2053"/>
      <c r="B18" s="2622"/>
      <c r="C18" s="36">
        <v>2015</v>
      </c>
      <c r="D18" s="584"/>
      <c r="E18" s="38">
        <v>2</v>
      </c>
      <c r="F18" s="38"/>
      <c r="G18" s="32">
        <f>SUM(D18:F18)</f>
        <v>2</v>
      </c>
      <c r="H18" s="39">
        <v>2</v>
      </c>
      <c r="I18" s="38"/>
      <c r="J18" s="38"/>
      <c r="K18" s="38"/>
      <c r="L18" s="38"/>
      <c r="M18" s="38"/>
      <c r="N18" s="38"/>
      <c r="O18" s="40"/>
      <c r="P18" s="35"/>
      <c r="Q18" s="35"/>
      <c r="R18" s="35"/>
      <c r="S18" s="35"/>
      <c r="T18" s="35"/>
      <c r="U18" s="35"/>
      <c r="V18" s="35"/>
      <c r="W18" s="35"/>
      <c r="X18" s="35"/>
      <c r="Y18" s="35"/>
    </row>
    <row r="19" spans="1:25">
      <c r="A19" s="2053"/>
      <c r="B19" s="2622"/>
      <c r="C19" s="36">
        <v>2016</v>
      </c>
      <c r="D19" s="37"/>
      <c r="E19" s="38">
        <v>2</v>
      </c>
      <c r="F19" s="38"/>
      <c r="G19" s="32">
        <f>D19+2</f>
        <v>2</v>
      </c>
      <c r="H19" s="39">
        <v>2</v>
      </c>
      <c r="I19" s="38"/>
      <c r="J19" s="38"/>
      <c r="K19" s="38"/>
      <c r="L19" s="38"/>
      <c r="M19" s="38"/>
      <c r="N19" s="38"/>
      <c r="O19" s="40"/>
      <c r="P19" s="35"/>
      <c r="Q19" s="35"/>
      <c r="R19" s="35"/>
      <c r="S19" s="35"/>
      <c r="T19" s="35"/>
      <c r="U19" s="35"/>
      <c r="V19" s="35"/>
      <c r="W19" s="35"/>
      <c r="X19" s="35"/>
      <c r="Y19" s="35"/>
    </row>
    <row r="20" spans="1:25">
      <c r="A20" s="2053"/>
      <c r="B20" s="2622"/>
      <c r="C20" s="36">
        <v>2017</v>
      </c>
      <c r="D20" s="37"/>
      <c r="E20" s="38">
        <v>2</v>
      </c>
      <c r="F20" s="38"/>
      <c r="G20" s="32">
        <f t="shared" si="0"/>
        <v>2</v>
      </c>
      <c r="H20" s="39">
        <v>2</v>
      </c>
      <c r="I20" s="38"/>
      <c r="J20" s="38"/>
      <c r="K20" s="38"/>
      <c r="L20" s="38"/>
      <c r="M20" s="38"/>
      <c r="N20" s="38"/>
      <c r="O20" s="40"/>
      <c r="P20" s="35"/>
      <c r="Q20" s="35"/>
      <c r="R20" s="35"/>
      <c r="S20" s="35"/>
      <c r="T20" s="35"/>
      <c r="U20" s="35"/>
      <c r="V20" s="35"/>
      <c r="W20" s="35"/>
      <c r="X20" s="35"/>
      <c r="Y20" s="35"/>
    </row>
    <row r="21" spans="1:25">
      <c r="A21" s="2053"/>
      <c r="B21" s="2622"/>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2053"/>
      <c r="B22" s="2622"/>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2053"/>
      <c r="B23" s="2622"/>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201.75" customHeight="1" thickBot="1">
      <c r="A24" s="2054"/>
      <c r="B24" s="2623"/>
      <c r="C24" s="42" t="s">
        <v>13</v>
      </c>
      <c r="D24" s="43">
        <f>SUM(D17:D23)</f>
        <v>0</v>
      </c>
      <c r="E24" s="44">
        <v>2</v>
      </c>
      <c r="F24" s="44">
        <f>SUM(F17:F23)</f>
        <v>0</v>
      </c>
      <c r="G24" s="45">
        <f>SUM(D24:F24)</f>
        <v>2</v>
      </c>
      <c r="H24" s="46">
        <f>SUM(H17:H23)</f>
        <v>6</v>
      </c>
      <c r="I24" s="47">
        <f>SUM(I17:I23)</f>
        <v>0</v>
      </c>
      <c r="J24" s="47">
        <f t="shared" ref="J24:N24" si="1">SUM(J17:J23)</f>
        <v>0</v>
      </c>
      <c r="K24" s="47">
        <f t="shared" si="1"/>
        <v>0</v>
      </c>
      <c r="L24" s="47">
        <f t="shared" si="1"/>
        <v>0</v>
      </c>
      <c r="M24" s="47">
        <f t="shared" si="1"/>
        <v>0</v>
      </c>
      <c r="N24" s="47">
        <f t="shared" si="1"/>
        <v>0</v>
      </c>
      <c r="O24" s="48">
        <f>SUM(O17:O23)</f>
        <v>0</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515"/>
      <c r="B26" s="516"/>
      <c r="C26" s="50"/>
      <c r="D26" s="1959" t="s">
        <v>5</v>
      </c>
      <c r="E26" s="2071"/>
      <c r="F26" s="2071"/>
      <c r="G26" s="2072"/>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2053"/>
      <c r="B28" s="2580" t="s">
        <v>477</v>
      </c>
      <c r="C28" s="57">
        <v>2014</v>
      </c>
      <c r="D28" s="33"/>
      <c r="E28" s="31"/>
      <c r="F28" s="31"/>
      <c r="G28" s="58">
        <f>SUM(D28:F28)</f>
        <v>0</v>
      </c>
      <c r="H28" s="35"/>
      <c r="I28" s="35"/>
      <c r="J28" s="35"/>
      <c r="K28" s="35"/>
      <c r="L28" s="35"/>
      <c r="M28" s="35"/>
      <c r="N28" s="35"/>
      <c r="O28" s="35"/>
      <c r="P28" s="35"/>
      <c r="Q28" s="7"/>
    </row>
    <row r="29" spans="1:25">
      <c r="A29" s="2053"/>
      <c r="B29" s="2580"/>
      <c r="C29" s="59">
        <v>2015</v>
      </c>
      <c r="D29" s="39"/>
      <c r="E29" s="38">
        <v>200</v>
      </c>
      <c r="F29" s="38"/>
      <c r="G29" s="58">
        <f t="shared" ref="G29:G35" si="2">SUM(D29:F29)</f>
        <v>200</v>
      </c>
      <c r="H29" s="35"/>
      <c r="I29" s="35"/>
      <c r="J29" s="35"/>
      <c r="K29" s="35"/>
      <c r="L29" s="35"/>
      <c r="M29" s="35"/>
      <c r="N29" s="35"/>
      <c r="O29" s="35"/>
      <c r="P29" s="35"/>
      <c r="Q29" s="7"/>
    </row>
    <row r="30" spans="1:25">
      <c r="A30" s="2053"/>
      <c r="B30" s="2580"/>
      <c r="C30" s="59">
        <v>2016</v>
      </c>
      <c r="D30" s="39"/>
      <c r="E30" s="38">
        <v>250</v>
      </c>
      <c r="F30" s="38"/>
      <c r="G30" s="58">
        <f t="shared" si="2"/>
        <v>250</v>
      </c>
      <c r="H30" s="35"/>
      <c r="I30" s="35"/>
      <c r="J30" s="35"/>
      <c r="K30" s="35"/>
      <c r="L30" s="35"/>
      <c r="M30" s="35"/>
      <c r="N30" s="35"/>
      <c r="O30" s="35"/>
      <c r="P30" s="35"/>
      <c r="Q30" s="7"/>
    </row>
    <row r="31" spans="1:25">
      <c r="A31" s="2053"/>
      <c r="B31" s="2580"/>
      <c r="C31" s="59">
        <v>2017</v>
      </c>
      <c r="D31" s="39"/>
      <c r="E31" s="38">
        <v>300</v>
      </c>
      <c r="F31" s="38"/>
      <c r="G31" s="58">
        <f t="shared" si="2"/>
        <v>300</v>
      </c>
      <c r="H31" s="35"/>
      <c r="I31" s="35"/>
      <c r="J31" s="35"/>
      <c r="K31" s="35"/>
      <c r="L31" s="35"/>
      <c r="M31" s="35"/>
      <c r="N31" s="35"/>
      <c r="O31" s="35"/>
      <c r="P31" s="35"/>
      <c r="Q31" s="7"/>
    </row>
    <row r="32" spans="1:25">
      <c r="A32" s="2053"/>
      <c r="B32" s="2580"/>
      <c r="C32" s="59">
        <v>2018</v>
      </c>
      <c r="D32" s="39"/>
      <c r="E32" s="38"/>
      <c r="F32" s="38"/>
      <c r="G32" s="58">
        <f>SUM(D32:F32)</f>
        <v>0</v>
      </c>
      <c r="H32" s="35"/>
      <c r="I32" s="35"/>
      <c r="J32" s="35"/>
      <c r="K32" s="35"/>
      <c r="L32" s="35"/>
      <c r="M32" s="35"/>
      <c r="N32" s="35"/>
      <c r="O32" s="35"/>
      <c r="P32" s="35"/>
      <c r="Q32" s="7"/>
    </row>
    <row r="33" spans="1:17">
      <c r="A33" s="2053"/>
      <c r="B33" s="2580"/>
      <c r="C33" s="60">
        <v>2019</v>
      </c>
      <c r="D33" s="39"/>
      <c r="E33" s="38"/>
      <c r="F33" s="38"/>
      <c r="G33" s="58">
        <f t="shared" si="2"/>
        <v>0</v>
      </c>
      <c r="H33" s="35"/>
      <c r="I33" s="35"/>
      <c r="J33" s="35"/>
      <c r="K33" s="35"/>
      <c r="L33" s="35"/>
      <c r="M33" s="35"/>
      <c r="N33" s="35"/>
      <c r="O33" s="35"/>
      <c r="P33" s="35"/>
      <c r="Q33" s="7"/>
    </row>
    <row r="34" spans="1:17">
      <c r="A34" s="2053"/>
      <c r="B34" s="2580"/>
      <c r="C34" s="59">
        <v>2020</v>
      </c>
      <c r="D34" s="39"/>
      <c r="E34" s="38"/>
      <c r="F34" s="38"/>
      <c r="G34" s="58">
        <f t="shared" si="2"/>
        <v>0</v>
      </c>
      <c r="H34" s="35"/>
      <c r="I34" s="35"/>
      <c r="J34" s="35"/>
      <c r="K34" s="35"/>
      <c r="L34" s="35"/>
      <c r="M34" s="35"/>
      <c r="N34" s="35"/>
      <c r="O34" s="35"/>
      <c r="P34" s="35"/>
      <c r="Q34" s="7"/>
    </row>
    <row r="35" spans="1:17" ht="286.5" customHeight="1" thickBot="1">
      <c r="A35" s="2054"/>
      <c r="B35" s="2581"/>
      <c r="C35" s="61" t="s">
        <v>13</v>
      </c>
      <c r="D35" s="46">
        <f>SUM(D28:D34)</f>
        <v>0</v>
      </c>
      <c r="E35" s="44">
        <f>SUM(E28:E34)</f>
        <v>750</v>
      </c>
      <c r="F35" s="44">
        <f>SUM(F28:F34)</f>
        <v>0</v>
      </c>
      <c r="G35" s="48">
        <f t="shared" si="2"/>
        <v>750</v>
      </c>
      <c r="H35" s="35"/>
      <c r="I35" s="35"/>
      <c r="J35" s="35"/>
      <c r="K35" s="35"/>
      <c r="L35" s="35"/>
      <c r="M35" s="35"/>
      <c r="N35" s="35"/>
      <c r="O35" s="35"/>
      <c r="P35" s="35"/>
      <c r="Q35" s="7"/>
    </row>
    <row r="36" spans="1:17">
      <c r="A36" s="1535"/>
      <c r="B36" s="1535"/>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535" t="s">
        <v>26</v>
      </c>
      <c r="B39" s="536" t="s">
        <v>171</v>
      </c>
      <c r="C39" s="68" t="s">
        <v>9</v>
      </c>
      <c r="D39" s="69" t="s">
        <v>28</v>
      </c>
      <c r="E39" s="70" t="s">
        <v>29</v>
      </c>
      <c r="F39" s="71"/>
      <c r="G39" s="28"/>
      <c r="H39" s="28"/>
    </row>
    <row r="40" spans="1:17">
      <c r="A40" s="2053"/>
      <c r="B40" s="2061" t="s">
        <v>478</v>
      </c>
      <c r="C40" s="72">
        <v>2014</v>
      </c>
      <c r="D40" s="30"/>
      <c r="E40" s="29"/>
      <c r="F40" s="7"/>
      <c r="G40" s="35"/>
      <c r="H40" s="35"/>
    </row>
    <row r="41" spans="1:17">
      <c r="A41" s="2053"/>
      <c r="B41" s="2061"/>
      <c r="C41" s="73">
        <v>2015</v>
      </c>
      <c r="D41" s="37">
        <v>2417</v>
      </c>
      <c r="E41" s="36"/>
      <c r="F41" s="7"/>
      <c r="G41" s="35"/>
      <c r="H41" s="35"/>
    </row>
    <row r="42" spans="1:17">
      <c r="A42" s="2053"/>
      <c r="B42" s="2061"/>
      <c r="C42" s="73">
        <v>2016</v>
      </c>
      <c r="D42" s="1691">
        <v>9715</v>
      </c>
      <c r="E42" s="36"/>
      <c r="F42" s="7"/>
      <c r="G42" s="35"/>
      <c r="H42" s="35"/>
    </row>
    <row r="43" spans="1:17">
      <c r="A43" s="2053"/>
      <c r="B43" s="2061"/>
      <c r="C43" s="73">
        <v>2017</v>
      </c>
      <c r="D43" s="37">
        <v>17317</v>
      </c>
      <c r="E43" s="36"/>
      <c r="F43" s="7"/>
      <c r="G43" s="35"/>
      <c r="H43" s="35"/>
    </row>
    <row r="44" spans="1:17">
      <c r="A44" s="2053"/>
      <c r="B44" s="2061"/>
      <c r="C44" s="73">
        <v>2018</v>
      </c>
      <c r="D44" s="37"/>
      <c r="E44" s="36"/>
      <c r="F44" s="7" t="s">
        <v>262</v>
      </c>
      <c r="G44" s="35"/>
      <c r="H44" s="35"/>
    </row>
    <row r="45" spans="1:17">
      <c r="A45" s="2053"/>
      <c r="B45" s="2061"/>
      <c r="C45" s="73">
        <v>2019</v>
      </c>
      <c r="D45" s="37"/>
      <c r="E45" s="36"/>
      <c r="F45" s="7"/>
      <c r="G45" s="35"/>
      <c r="H45" s="35"/>
    </row>
    <row r="46" spans="1:17">
      <c r="A46" s="2053"/>
      <c r="B46" s="2061"/>
      <c r="C46" s="73">
        <v>2020</v>
      </c>
      <c r="D46" s="37"/>
      <c r="E46" s="36"/>
      <c r="F46" s="7"/>
      <c r="G46" s="35"/>
      <c r="H46" s="35"/>
    </row>
    <row r="47" spans="1:17" ht="15.75" thickBot="1">
      <c r="A47" s="2054"/>
      <c r="B47" s="2062"/>
      <c r="C47" s="42" t="s">
        <v>13</v>
      </c>
      <c r="D47" s="43">
        <f>SUM(D40:D46)</f>
        <v>29449</v>
      </c>
      <c r="E47" s="455">
        <f>SUM(E40:E46)</f>
        <v>0</v>
      </c>
      <c r="F47" s="78"/>
      <c r="G47" s="35"/>
      <c r="H47" s="35"/>
    </row>
    <row r="48" spans="1:17" s="35" customFormat="1" ht="15.75" thickBot="1">
      <c r="A48" s="539"/>
      <c r="B48" s="80"/>
      <c r="C48" s="81"/>
    </row>
    <row r="49" spans="1:15" ht="83.25" customHeight="1">
      <c r="A49" s="82" t="s">
        <v>32</v>
      </c>
      <c r="B49" s="536" t="s">
        <v>171</v>
      </c>
      <c r="C49" s="84" t="s">
        <v>9</v>
      </c>
      <c r="D49" s="69" t="s">
        <v>34</v>
      </c>
      <c r="E49" s="85" t="s">
        <v>35</v>
      </c>
      <c r="F49" s="85" t="s">
        <v>36</v>
      </c>
      <c r="G49" s="85" t="s">
        <v>37</v>
      </c>
      <c r="H49" s="85" t="s">
        <v>38</v>
      </c>
      <c r="I49" s="85" t="s">
        <v>39</v>
      </c>
      <c r="J49" s="85" t="s">
        <v>40</v>
      </c>
      <c r="K49" s="86" t="s">
        <v>41</v>
      </c>
    </row>
    <row r="50" spans="1:15" ht="17.25" customHeight="1">
      <c r="A50" s="1872"/>
      <c r="B50" s="1879"/>
      <c r="C50" s="87" t="s">
        <v>43</v>
      </c>
      <c r="D50" s="30"/>
      <c r="E50" s="31"/>
      <c r="F50" s="31"/>
      <c r="G50" s="31"/>
      <c r="H50" s="31"/>
      <c r="I50" s="31"/>
      <c r="J50" s="31"/>
      <c r="K50" s="34"/>
    </row>
    <row r="51" spans="1:15" ht="15" customHeight="1">
      <c r="A51" s="1874"/>
      <c r="B51" s="1881"/>
      <c r="C51" s="73">
        <v>2014</v>
      </c>
      <c r="D51" s="37"/>
      <c r="E51" s="38"/>
      <c r="F51" s="38"/>
      <c r="G51" s="38"/>
      <c r="H51" s="38"/>
      <c r="I51" s="38"/>
      <c r="J51" s="38"/>
      <c r="K51" s="88"/>
    </row>
    <row r="52" spans="1:15">
      <c r="A52" s="1874"/>
      <c r="B52" s="1881"/>
      <c r="C52" s="73">
        <v>2015</v>
      </c>
      <c r="D52" s="37"/>
      <c r="E52" s="38"/>
      <c r="F52" s="38"/>
      <c r="G52" s="38"/>
      <c r="H52" s="38"/>
      <c r="I52" s="38"/>
      <c r="J52" s="38"/>
      <c r="K52" s="88"/>
    </row>
    <row r="53" spans="1:15">
      <c r="A53" s="1874"/>
      <c r="B53" s="1881"/>
      <c r="C53" s="73">
        <v>2016</v>
      </c>
      <c r="D53" s="37"/>
      <c r="E53" s="38"/>
      <c r="F53" s="38"/>
      <c r="G53" s="38"/>
      <c r="H53" s="38"/>
      <c r="I53" s="38"/>
      <c r="J53" s="38"/>
      <c r="K53" s="88"/>
    </row>
    <row r="54" spans="1:15">
      <c r="A54" s="1874"/>
      <c r="B54" s="1881"/>
      <c r="C54" s="73">
        <v>2017</v>
      </c>
      <c r="D54" s="37"/>
      <c r="E54" s="38"/>
      <c r="F54" s="38"/>
      <c r="G54" s="38"/>
      <c r="H54" s="38"/>
      <c r="I54" s="38"/>
      <c r="J54" s="38"/>
      <c r="K54" s="88"/>
    </row>
    <row r="55" spans="1:15">
      <c r="A55" s="1874"/>
      <c r="B55" s="1881"/>
      <c r="C55" s="73">
        <v>2018</v>
      </c>
      <c r="D55" s="37"/>
      <c r="E55" s="38"/>
      <c r="F55" s="38"/>
      <c r="G55" s="38"/>
      <c r="H55" s="38"/>
      <c r="I55" s="38"/>
      <c r="J55" s="38"/>
      <c r="K55" s="88"/>
    </row>
    <row r="56" spans="1:15">
      <c r="A56" s="1874"/>
      <c r="B56" s="1881"/>
      <c r="C56" s="73">
        <v>2019</v>
      </c>
      <c r="D56" s="37"/>
      <c r="E56" s="38"/>
      <c r="F56" s="38"/>
      <c r="G56" s="38"/>
      <c r="H56" s="38"/>
      <c r="I56" s="38"/>
      <c r="J56" s="38"/>
      <c r="K56" s="88"/>
    </row>
    <row r="57" spans="1:15">
      <c r="A57" s="1874"/>
      <c r="B57" s="1881"/>
      <c r="C57" s="73">
        <v>2020</v>
      </c>
      <c r="D57" s="37"/>
      <c r="E57" s="38"/>
      <c r="F57" s="38"/>
      <c r="G57" s="38"/>
      <c r="H57" s="38"/>
      <c r="I57" s="38"/>
      <c r="J57" s="38"/>
      <c r="K57" s="93"/>
    </row>
    <row r="58" spans="1:15" ht="20.25" customHeight="1" thickBot="1">
      <c r="A58" s="1876"/>
      <c r="B58" s="1883"/>
      <c r="C58" s="42" t="s">
        <v>13</v>
      </c>
      <c r="D58" s="43">
        <f>SUM(D51:D57)</f>
        <v>0</v>
      </c>
      <c r="E58" s="44">
        <f>SUM(E51:E57)</f>
        <v>0</v>
      </c>
      <c r="F58" s="44">
        <f>SUM(F51:F57)</f>
        <v>0</v>
      </c>
      <c r="G58" s="44">
        <f>SUM(G51:G57)</f>
        <v>0</v>
      </c>
      <c r="H58" s="44">
        <f>SUM(H51:H57)</f>
        <v>0</v>
      </c>
      <c r="I58" s="44">
        <f t="shared" ref="I58" si="3">SUM(I51:I57)</f>
        <v>0</v>
      </c>
      <c r="J58" s="44">
        <f>SUM(J51:J57)</f>
        <v>0</v>
      </c>
      <c r="K58" s="48">
        <f>SUM(K50:K56)</f>
        <v>0</v>
      </c>
    </row>
    <row r="59" spans="1:15" ht="15.75" thickBot="1"/>
    <row r="60" spans="1:15" ht="21" customHeight="1">
      <c r="A60" s="2073" t="s">
        <v>44</v>
      </c>
      <c r="B60" s="540"/>
      <c r="C60" s="2074" t="s">
        <v>9</v>
      </c>
      <c r="D60" s="2417" t="s">
        <v>45</v>
      </c>
      <c r="E60" s="96" t="s">
        <v>6</v>
      </c>
      <c r="F60" s="541"/>
      <c r="G60" s="541"/>
      <c r="H60" s="541"/>
      <c r="I60" s="541"/>
      <c r="J60" s="541"/>
      <c r="K60" s="541"/>
      <c r="L60" s="542"/>
    </row>
    <row r="61" spans="1:15" ht="115.5" customHeight="1">
      <c r="A61" s="1970"/>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1898"/>
      <c r="B62" s="1899"/>
      <c r="C62" s="106">
        <v>2014</v>
      </c>
      <c r="D62" s="107"/>
      <c r="E62" s="108"/>
      <c r="F62" s="109"/>
      <c r="G62" s="109"/>
      <c r="H62" s="109"/>
      <c r="I62" s="109"/>
      <c r="J62" s="109"/>
      <c r="K62" s="109"/>
      <c r="L62" s="34"/>
      <c r="M62" s="7"/>
      <c r="N62" s="7"/>
      <c r="O62" s="7"/>
    </row>
    <row r="63" spans="1:15">
      <c r="A63" s="1891"/>
      <c r="B63" s="1899"/>
      <c r="C63" s="110">
        <v>2015</v>
      </c>
      <c r="D63" s="111">
        <v>1</v>
      </c>
      <c r="E63" s="112">
        <v>1</v>
      </c>
      <c r="F63" s="38"/>
      <c r="G63" s="38"/>
      <c r="H63" s="38"/>
      <c r="I63" s="38"/>
      <c r="J63" s="38"/>
      <c r="K63" s="38"/>
      <c r="L63" s="88"/>
      <c r="M63" s="7"/>
      <c r="N63" s="7"/>
      <c r="O63" s="7"/>
    </row>
    <row r="64" spans="1:15">
      <c r="A64" s="1891"/>
      <c r="B64" s="1899"/>
      <c r="C64" s="110">
        <v>2016</v>
      </c>
      <c r="D64" s="111">
        <v>3</v>
      </c>
      <c r="E64" s="112">
        <v>3</v>
      </c>
      <c r="F64" s="38"/>
      <c r="G64" s="38"/>
      <c r="H64" s="38"/>
      <c r="I64" s="38"/>
      <c r="J64" s="38"/>
      <c r="K64" s="38"/>
      <c r="L64" s="88"/>
      <c r="M64" s="7"/>
      <c r="N64" s="7"/>
      <c r="O64" s="7"/>
    </row>
    <row r="65" spans="1:20">
      <c r="A65" s="1891"/>
      <c r="B65" s="1899"/>
      <c r="C65" s="110">
        <v>2017</v>
      </c>
      <c r="D65" s="111">
        <v>5</v>
      </c>
      <c r="E65" s="112">
        <v>5</v>
      </c>
      <c r="F65" s="38"/>
      <c r="G65" s="38"/>
      <c r="H65" s="38"/>
      <c r="I65" s="38"/>
      <c r="J65" s="38"/>
      <c r="K65" s="38"/>
      <c r="L65" s="88"/>
      <c r="M65" s="7"/>
      <c r="N65" s="7"/>
      <c r="O65" s="7"/>
    </row>
    <row r="66" spans="1:20">
      <c r="A66" s="1891"/>
      <c r="B66" s="1899"/>
      <c r="C66" s="110">
        <v>2018</v>
      </c>
      <c r="D66" s="111"/>
      <c r="E66" s="112"/>
      <c r="F66" s="38"/>
      <c r="G66" s="38"/>
      <c r="H66" s="38"/>
      <c r="I66" s="38"/>
      <c r="J66" s="38"/>
      <c r="K66" s="38"/>
      <c r="L66" s="88"/>
      <c r="M66" s="7"/>
      <c r="N66" s="7"/>
      <c r="O66" s="7"/>
    </row>
    <row r="67" spans="1:20" ht="17.25" customHeight="1">
      <c r="A67" s="1891"/>
      <c r="B67" s="1899"/>
      <c r="C67" s="110">
        <v>2019</v>
      </c>
      <c r="D67" s="111"/>
      <c r="E67" s="112"/>
      <c r="F67" s="38"/>
      <c r="G67" s="38"/>
      <c r="H67" s="38"/>
      <c r="I67" s="38"/>
      <c r="J67" s="38"/>
      <c r="K67" s="38"/>
      <c r="L67" s="88"/>
      <c r="M67" s="7"/>
      <c r="N67" s="7"/>
      <c r="O67" s="7"/>
    </row>
    <row r="68" spans="1:20" ht="16.5" customHeight="1">
      <c r="A68" s="1891"/>
      <c r="B68" s="1899"/>
      <c r="C68" s="110">
        <v>2020</v>
      </c>
      <c r="D68" s="111"/>
      <c r="E68" s="112"/>
      <c r="F68" s="38"/>
      <c r="G68" s="38"/>
      <c r="H68" s="38"/>
      <c r="I68" s="38"/>
      <c r="J68" s="38"/>
      <c r="K68" s="38"/>
      <c r="L68" s="88"/>
      <c r="M68" s="78"/>
      <c r="N68" s="78"/>
      <c r="O68" s="78"/>
    </row>
    <row r="69" spans="1:20" ht="18" customHeight="1" thickBot="1">
      <c r="A69" s="1980"/>
      <c r="B69" s="1900"/>
      <c r="C69" s="113" t="s">
        <v>13</v>
      </c>
      <c r="D69" s="114">
        <f>SUM(D62:D68)</f>
        <v>9</v>
      </c>
      <c r="E69" s="115">
        <f>SUM(E62:E68)</f>
        <v>9</v>
      </c>
      <c r="F69" s="116">
        <f t="shared" ref="F69:I69" si="4">SUM(F62:F68)</f>
        <v>0</v>
      </c>
      <c r="G69" s="116">
        <f t="shared" si="4"/>
        <v>0</v>
      </c>
      <c r="H69" s="116">
        <f t="shared" si="4"/>
        <v>0</v>
      </c>
      <c r="I69" s="116">
        <f t="shared" si="4"/>
        <v>0</v>
      </c>
      <c r="J69" s="116"/>
      <c r="K69" s="116">
        <f>SUM(K62:K68)</f>
        <v>0</v>
      </c>
      <c r="L69" s="117">
        <f>SUM(L62:L68)</f>
        <v>0</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535" t="s">
        <v>47</v>
      </c>
      <c r="B71" s="536"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2053"/>
      <c r="B72" s="1929"/>
      <c r="C72" s="72">
        <v>2014</v>
      </c>
      <c r="D72" s="131"/>
      <c r="E72" s="131"/>
      <c r="F72" s="131"/>
      <c r="G72" s="132">
        <f>SUM(D72:F72)</f>
        <v>0</v>
      </c>
      <c r="H72" s="30"/>
      <c r="I72" s="133"/>
      <c r="J72" s="109"/>
      <c r="K72" s="109"/>
      <c r="L72" s="109"/>
      <c r="M72" s="109"/>
      <c r="N72" s="109"/>
      <c r="O72" s="134"/>
    </row>
    <row r="73" spans="1:20">
      <c r="A73" s="2053"/>
      <c r="B73" s="1929"/>
      <c r="C73" s="73">
        <v>2015</v>
      </c>
      <c r="D73" s="135"/>
      <c r="E73" s="135"/>
      <c r="F73" s="135"/>
      <c r="G73" s="132">
        <f t="shared" ref="G73:G78" si="5">SUM(D73:F73)</f>
        <v>0</v>
      </c>
      <c r="H73" s="37"/>
      <c r="I73" s="37"/>
      <c r="J73" s="38"/>
      <c r="K73" s="38"/>
      <c r="L73" s="38"/>
      <c r="M73" s="38"/>
      <c r="N73" s="38"/>
      <c r="O73" s="88"/>
    </row>
    <row r="74" spans="1:20">
      <c r="A74" s="2053"/>
      <c r="B74" s="1929"/>
      <c r="C74" s="73">
        <v>2016</v>
      </c>
      <c r="D74" s="135"/>
      <c r="E74" s="135"/>
      <c r="F74" s="135"/>
      <c r="G74" s="132">
        <f t="shared" si="5"/>
        <v>0</v>
      </c>
      <c r="H74" s="37"/>
      <c r="I74" s="37"/>
      <c r="J74" s="38"/>
      <c r="K74" s="38"/>
      <c r="L74" s="38"/>
      <c r="M74" s="38"/>
      <c r="N74" s="38"/>
      <c r="O74" s="88"/>
    </row>
    <row r="75" spans="1:20">
      <c r="A75" s="2053"/>
      <c r="B75" s="1929"/>
      <c r="C75" s="73">
        <v>2017</v>
      </c>
      <c r="D75" s="135"/>
      <c r="E75" s="135"/>
      <c r="F75" s="135"/>
      <c r="G75" s="132">
        <f t="shared" si="5"/>
        <v>0</v>
      </c>
      <c r="H75" s="37"/>
      <c r="I75" s="37"/>
      <c r="J75" s="38"/>
      <c r="K75" s="38"/>
      <c r="L75" s="38"/>
      <c r="M75" s="38"/>
      <c r="N75" s="38"/>
      <c r="O75" s="88"/>
    </row>
    <row r="76" spans="1:20">
      <c r="A76" s="2053"/>
      <c r="B76" s="1929"/>
      <c r="C76" s="73">
        <v>2018</v>
      </c>
      <c r="D76" s="135"/>
      <c r="E76" s="135"/>
      <c r="F76" s="135"/>
      <c r="G76" s="132">
        <f t="shared" si="5"/>
        <v>0</v>
      </c>
      <c r="H76" s="37"/>
      <c r="I76" s="37"/>
      <c r="J76" s="38"/>
      <c r="K76" s="38"/>
      <c r="L76" s="38"/>
      <c r="M76" s="38"/>
      <c r="N76" s="38"/>
      <c r="O76" s="88"/>
    </row>
    <row r="77" spans="1:20" ht="15.75" customHeight="1">
      <c r="A77" s="2053"/>
      <c r="B77" s="1929"/>
      <c r="C77" s="73">
        <v>2019</v>
      </c>
      <c r="D77" s="135"/>
      <c r="E77" s="135"/>
      <c r="F77" s="135"/>
      <c r="G77" s="132">
        <f t="shared" si="5"/>
        <v>0</v>
      </c>
      <c r="H77" s="37"/>
      <c r="I77" s="37"/>
      <c r="J77" s="38"/>
      <c r="K77" s="38"/>
      <c r="L77" s="38"/>
      <c r="M77" s="38"/>
      <c r="N77" s="38"/>
      <c r="O77" s="88"/>
    </row>
    <row r="78" spans="1:20" ht="17.25" customHeight="1">
      <c r="A78" s="2053"/>
      <c r="B78" s="1929"/>
      <c r="C78" s="73">
        <v>2020</v>
      </c>
      <c r="D78" s="135"/>
      <c r="E78" s="135"/>
      <c r="F78" s="135"/>
      <c r="G78" s="132">
        <f t="shared" si="5"/>
        <v>0</v>
      </c>
      <c r="H78" s="37"/>
      <c r="I78" s="37"/>
      <c r="J78" s="38"/>
      <c r="K78" s="38"/>
      <c r="L78" s="38"/>
      <c r="M78" s="38"/>
      <c r="N78" s="38"/>
      <c r="O78" s="88"/>
    </row>
    <row r="79" spans="1:20" ht="20.25" customHeight="1" thickBot="1">
      <c r="A79" s="2054"/>
      <c r="B79" s="1932"/>
      <c r="C79" s="136" t="s">
        <v>13</v>
      </c>
      <c r="D79" s="114">
        <f>SUM(D72:D78)</f>
        <v>0</v>
      </c>
      <c r="E79" s="114">
        <f>SUM(E72:E78)</f>
        <v>0</v>
      </c>
      <c r="F79" s="114">
        <f>SUM(F72:F78)</f>
        <v>0</v>
      </c>
      <c r="G79" s="137">
        <f>SUM(G72:G78)</f>
        <v>0</v>
      </c>
      <c r="H79" s="138">
        <f>SUM(H72:H78)</f>
        <v>0</v>
      </c>
      <c r="I79" s="139">
        <f t="shared" ref="I79:O79" si="6">SUM(I72:I78)</f>
        <v>0</v>
      </c>
      <c r="J79" s="116">
        <f t="shared" si="6"/>
        <v>0</v>
      </c>
      <c r="K79" s="116">
        <f t="shared" si="6"/>
        <v>0</v>
      </c>
      <c r="L79" s="116">
        <f t="shared" si="6"/>
        <v>0</v>
      </c>
      <c r="M79" s="116">
        <f t="shared" si="6"/>
        <v>0</v>
      </c>
      <c r="N79" s="116">
        <f t="shared" si="6"/>
        <v>0</v>
      </c>
      <c r="O79" s="117">
        <f t="shared" si="6"/>
        <v>0</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547" t="s">
        <v>56</v>
      </c>
      <c r="B84" s="548" t="s">
        <v>178</v>
      </c>
      <c r="C84" s="149" t="s">
        <v>9</v>
      </c>
      <c r="D84" s="150" t="s">
        <v>58</v>
      </c>
      <c r="E84" s="151" t="s">
        <v>59</v>
      </c>
      <c r="F84" s="152" t="s">
        <v>60</v>
      </c>
      <c r="G84" s="152" t="s">
        <v>61</v>
      </c>
      <c r="H84" s="152" t="s">
        <v>62</v>
      </c>
      <c r="I84" s="152" t="s">
        <v>63</v>
      </c>
      <c r="J84" s="152" t="s">
        <v>64</v>
      </c>
      <c r="K84" s="153" t="s">
        <v>65</v>
      </c>
    </row>
    <row r="85" spans="1:16" ht="15" customHeight="1">
      <c r="A85" s="1938"/>
      <c r="B85" s="1899"/>
      <c r="C85" s="72">
        <v>2014</v>
      </c>
      <c r="D85" s="154"/>
      <c r="E85" s="155"/>
      <c r="F85" s="31"/>
      <c r="G85" s="31"/>
      <c r="H85" s="31"/>
      <c r="I85" s="31"/>
      <c r="J85" s="31"/>
      <c r="K85" s="34"/>
    </row>
    <row r="86" spans="1:16">
      <c r="A86" s="1939"/>
      <c r="B86" s="1899"/>
      <c r="C86" s="73">
        <v>2015</v>
      </c>
      <c r="D86" s="156"/>
      <c r="E86" s="112"/>
      <c r="F86" s="38"/>
      <c r="G86" s="38"/>
      <c r="H86" s="38"/>
      <c r="I86" s="38"/>
      <c r="J86" s="38"/>
      <c r="K86" s="88"/>
    </row>
    <row r="87" spans="1:16">
      <c r="A87" s="1939"/>
      <c r="B87" s="1899"/>
      <c r="C87" s="73">
        <v>2016</v>
      </c>
      <c r="D87" s="156"/>
      <c r="E87" s="112"/>
      <c r="F87" s="38"/>
      <c r="G87" s="38"/>
      <c r="H87" s="38"/>
      <c r="I87" s="38"/>
      <c r="J87" s="38"/>
      <c r="K87" s="88"/>
    </row>
    <row r="88" spans="1:16">
      <c r="A88" s="1939"/>
      <c r="B88" s="1899"/>
      <c r="C88" s="73">
        <v>2017</v>
      </c>
      <c r="D88" s="156">
        <v>31</v>
      </c>
      <c r="E88" s="112">
        <v>31</v>
      </c>
      <c r="F88" s="38"/>
      <c r="G88" s="38"/>
      <c r="H88" s="38"/>
      <c r="I88" s="38"/>
      <c r="J88" s="38"/>
      <c r="K88" s="88"/>
    </row>
    <row r="89" spans="1:16">
      <c r="A89" s="1939"/>
      <c r="B89" s="1899"/>
      <c r="C89" s="73">
        <v>2018</v>
      </c>
      <c r="D89" s="156"/>
      <c r="E89" s="112"/>
      <c r="F89" s="38"/>
      <c r="G89" s="38"/>
      <c r="H89" s="38"/>
      <c r="I89" s="38"/>
      <c r="J89" s="38"/>
      <c r="K89" s="88"/>
    </row>
    <row r="90" spans="1:16">
      <c r="A90" s="1939"/>
      <c r="B90" s="1899"/>
      <c r="C90" s="73">
        <v>2019</v>
      </c>
      <c r="D90" s="156"/>
      <c r="E90" s="112"/>
      <c r="F90" s="38"/>
      <c r="G90" s="38"/>
      <c r="H90" s="38"/>
      <c r="I90" s="38"/>
      <c r="J90" s="38"/>
      <c r="K90" s="88"/>
    </row>
    <row r="91" spans="1:16">
      <c r="A91" s="1939"/>
      <c r="B91" s="1899"/>
      <c r="C91" s="73">
        <v>2020</v>
      </c>
      <c r="D91" s="156"/>
      <c r="E91" s="112"/>
      <c r="F91" s="38"/>
      <c r="G91" s="38"/>
      <c r="H91" s="38"/>
      <c r="I91" s="38"/>
      <c r="J91" s="38"/>
      <c r="K91" s="88"/>
    </row>
    <row r="92" spans="1:16" ht="18" customHeight="1" thickBot="1">
      <c r="A92" s="1940"/>
      <c r="B92" s="1900"/>
      <c r="C92" s="136" t="s">
        <v>13</v>
      </c>
      <c r="D92" s="157">
        <f t="shared" ref="D92:I92" si="7">SUM(D85:D91)</f>
        <v>31</v>
      </c>
      <c r="E92" s="115">
        <f t="shared" si="7"/>
        <v>31</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051" t="s">
        <v>68</v>
      </c>
      <c r="B96" s="2052" t="s">
        <v>179</v>
      </c>
      <c r="C96" s="2058" t="s">
        <v>9</v>
      </c>
      <c r="D96" s="1916" t="s">
        <v>70</v>
      </c>
      <c r="E96" s="1917"/>
      <c r="F96" s="162" t="s">
        <v>71</v>
      </c>
      <c r="G96" s="549"/>
      <c r="H96" s="549"/>
      <c r="I96" s="549"/>
      <c r="J96" s="549"/>
      <c r="K96" s="549"/>
      <c r="L96" s="549"/>
      <c r="M96" s="550"/>
      <c r="N96" s="165"/>
      <c r="O96" s="165"/>
      <c r="P96" s="165"/>
    </row>
    <row r="97" spans="1:16" ht="100.5" customHeight="1">
      <c r="A97" s="1910"/>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1898"/>
      <c r="B98" s="1899"/>
      <c r="C98" s="106">
        <v>2014</v>
      </c>
      <c r="D98" s="30"/>
      <c r="E98" s="31"/>
      <c r="F98" s="174"/>
      <c r="G98" s="175"/>
      <c r="H98" s="175"/>
      <c r="I98" s="175"/>
      <c r="J98" s="175"/>
      <c r="K98" s="175"/>
      <c r="L98" s="175"/>
      <c r="M98" s="176"/>
      <c r="N98" s="165"/>
      <c r="O98" s="165"/>
      <c r="P98" s="165"/>
    </row>
    <row r="99" spans="1:16" ht="16.5" customHeight="1">
      <c r="A99" s="1891"/>
      <c r="B99" s="1899"/>
      <c r="C99" s="110">
        <v>2015</v>
      </c>
      <c r="D99" s="37"/>
      <c r="E99" s="38"/>
      <c r="F99" s="177"/>
      <c r="G99" s="178"/>
      <c r="H99" s="178"/>
      <c r="I99" s="178"/>
      <c r="J99" s="178"/>
      <c r="K99" s="178"/>
      <c r="L99" s="178"/>
      <c r="M99" s="179"/>
      <c r="N99" s="165"/>
      <c r="O99" s="165"/>
      <c r="P99" s="165"/>
    </row>
    <row r="100" spans="1:16" ht="16.5" customHeight="1">
      <c r="A100" s="1891"/>
      <c r="B100" s="1899"/>
      <c r="C100" s="110">
        <v>2016</v>
      </c>
      <c r="D100" s="37"/>
      <c r="E100" s="38"/>
      <c r="F100" s="177"/>
      <c r="G100" s="178"/>
      <c r="H100" s="178"/>
      <c r="I100" s="178"/>
      <c r="J100" s="178"/>
      <c r="K100" s="178"/>
      <c r="L100" s="178"/>
      <c r="M100" s="179"/>
      <c r="N100" s="165"/>
      <c r="O100" s="165"/>
      <c r="P100" s="165"/>
    </row>
    <row r="101" spans="1:16" ht="16.5" customHeight="1">
      <c r="A101" s="1891"/>
      <c r="B101" s="1899"/>
      <c r="C101" s="110">
        <v>2017</v>
      </c>
      <c r="D101" s="37"/>
      <c r="E101" s="38"/>
      <c r="F101" s="177"/>
      <c r="G101" s="178"/>
      <c r="H101" s="178"/>
      <c r="I101" s="178"/>
      <c r="J101" s="178"/>
      <c r="K101" s="178"/>
      <c r="L101" s="178"/>
      <c r="M101" s="179"/>
      <c r="N101" s="165"/>
      <c r="O101" s="165"/>
      <c r="P101" s="165"/>
    </row>
    <row r="102" spans="1:16" ht="15.75" customHeight="1">
      <c r="A102" s="1891"/>
      <c r="B102" s="1899"/>
      <c r="C102" s="110">
        <v>2018</v>
      </c>
      <c r="D102" s="37"/>
      <c r="E102" s="38"/>
      <c r="F102" s="177"/>
      <c r="G102" s="178"/>
      <c r="H102" s="178"/>
      <c r="I102" s="178"/>
      <c r="J102" s="178"/>
      <c r="K102" s="178"/>
      <c r="L102" s="178"/>
      <c r="M102" s="179"/>
      <c r="N102" s="165"/>
      <c r="O102" s="165"/>
      <c r="P102" s="165"/>
    </row>
    <row r="103" spans="1:16" ht="14.25" customHeight="1">
      <c r="A103" s="1891"/>
      <c r="B103" s="1899"/>
      <c r="C103" s="110">
        <v>2019</v>
      </c>
      <c r="D103" s="37"/>
      <c r="E103" s="38"/>
      <c r="F103" s="177"/>
      <c r="G103" s="178"/>
      <c r="H103" s="178"/>
      <c r="I103" s="178"/>
      <c r="J103" s="178"/>
      <c r="K103" s="178"/>
      <c r="L103" s="178"/>
      <c r="M103" s="179"/>
      <c r="N103" s="165"/>
      <c r="O103" s="165"/>
      <c r="P103" s="165"/>
    </row>
    <row r="104" spans="1:16" ht="14.25" customHeight="1">
      <c r="A104" s="1891"/>
      <c r="B104" s="1899"/>
      <c r="C104" s="110">
        <v>2020</v>
      </c>
      <c r="D104" s="37"/>
      <c r="E104" s="38"/>
      <c r="F104" s="177"/>
      <c r="G104" s="178"/>
      <c r="H104" s="178"/>
      <c r="I104" s="178"/>
      <c r="J104" s="178"/>
      <c r="K104" s="178"/>
      <c r="L104" s="178"/>
      <c r="M104" s="179"/>
      <c r="N104" s="165"/>
      <c r="O104" s="165"/>
      <c r="P104" s="165"/>
    </row>
    <row r="105" spans="1:16" ht="19.5" customHeight="1" thickBot="1">
      <c r="A105" s="1915"/>
      <c r="B105" s="1900"/>
      <c r="C105" s="113" t="s">
        <v>13</v>
      </c>
      <c r="D105" s="139">
        <f>SUM(D98:D104)</f>
        <v>0</v>
      </c>
      <c r="E105" s="116">
        <f t="shared" ref="E105:K105" si="8">SUM(E98:E104)</f>
        <v>0</v>
      </c>
      <c r="F105" s="180">
        <f t="shared" si="8"/>
        <v>0</v>
      </c>
      <c r="G105" s="181">
        <f t="shared" si="8"/>
        <v>0</v>
      </c>
      <c r="H105" s="181">
        <f t="shared" si="8"/>
        <v>0</v>
      </c>
      <c r="I105" s="181">
        <f>SUM(I98:I104)</f>
        <v>0</v>
      </c>
      <c r="J105" s="181">
        <f t="shared" si="8"/>
        <v>0</v>
      </c>
      <c r="K105" s="181">
        <f t="shared" si="8"/>
        <v>0</v>
      </c>
      <c r="L105" s="181">
        <f>SUM(L98:L104)</f>
        <v>0</v>
      </c>
      <c r="M105" s="182">
        <f>SUM(M98:M104)</f>
        <v>0</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051" t="s">
        <v>77</v>
      </c>
      <c r="B107" s="2052" t="s">
        <v>179</v>
      </c>
      <c r="C107" s="2058" t="s">
        <v>9</v>
      </c>
      <c r="D107" s="2414" t="s">
        <v>78</v>
      </c>
      <c r="E107" s="162" t="s">
        <v>79</v>
      </c>
      <c r="F107" s="549"/>
      <c r="G107" s="549"/>
      <c r="H107" s="549"/>
      <c r="I107" s="549"/>
      <c r="J107" s="549"/>
      <c r="K107" s="549"/>
      <c r="L107" s="550"/>
      <c r="M107" s="185"/>
      <c r="N107" s="185"/>
    </row>
    <row r="108" spans="1:16" ht="103.5"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1898"/>
      <c r="B109" s="1899"/>
      <c r="C109" s="106">
        <v>2014</v>
      </c>
      <c r="D109" s="31"/>
      <c r="E109" s="174"/>
      <c r="F109" s="175"/>
      <c r="G109" s="175"/>
      <c r="H109" s="175"/>
      <c r="I109" s="175"/>
      <c r="J109" s="175"/>
      <c r="K109" s="175"/>
      <c r="L109" s="176"/>
      <c r="M109" s="185"/>
      <c r="N109" s="185"/>
    </row>
    <row r="110" spans="1:16">
      <c r="A110" s="1891"/>
      <c r="B110" s="1899"/>
      <c r="C110" s="110">
        <v>2015</v>
      </c>
      <c r="D110" s="38"/>
      <c r="E110" s="177"/>
      <c r="F110" s="178"/>
      <c r="G110" s="178"/>
      <c r="H110" s="178"/>
      <c r="I110" s="178"/>
      <c r="J110" s="178"/>
      <c r="K110" s="178"/>
      <c r="L110" s="179"/>
      <c r="M110" s="185"/>
      <c r="N110" s="185"/>
    </row>
    <row r="111" spans="1:16">
      <c r="A111" s="1891"/>
      <c r="B111" s="1899"/>
      <c r="C111" s="110">
        <v>2016</v>
      </c>
      <c r="D111" s="38"/>
      <c r="E111" s="177"/>
      <c r="F111" s="178"/>
      <c r="G111" s="178"/>
      <c r="H111" s="178"/>
      <c r="I111" s="178"/>
      <c r="J111" s="178"/>
      <c r="K111" s="178"/>
      <c r="L111" s="179"/>
      <c r="M111" s="185"/>
      <c r="N111" s="185"/>
    </row>
    <row r="112" spans="1:16">
      <c r="A112" s="1891"/>
      <c r="B112" s="1899"/>
      <c r="C112" s="110">
        <v>2017</v>
      </c>
      <c r="D112" s="38"/>
      <c r="E112" s="177"/>
      <c r="F112" s="178"/>
      <c r="G112" s="178"/>
      <c r="H112" s="178"/>
      <c r="I112" s="178"/>
      <c r="J112" s="178"/>
      <c r="K112" s="178"/>
      <c r="L112" s="179"/>
      <c r="M112" s="185"/>
      <c r="N112" s="185"/>
    </row>
    <row r="113" spans="1:14">
      <c r="A113" s="1891"/>
      <c r="B113" s="1899"/>
      <c r="C113" s="110">
        <v>2018</v>
      </c>
      <c r="D113" s="38"/>
      <c r="E113" s="177"/>
      <c r="F113" s="178"/>
      <c r="G113" s="178"/>
      <c r="H113" s="178"/>
      <c r="I113" s="178"/>
      <c r="J113" s="178"/>
      <c r="K113" s="178"/>
      <c r="L113" s="179"/>
      <c r="M113" s="185"/>
      <c r="N113" s="185"/>
    </row>
    <row r="114" spans="1:14">
      <c r="A114" s="1891"/>
      <c r="B114" s="1899"/>
      <c r="C114" s="110">
        <v>2019</v>
      </c>
      <c r="D114" s="38"/>
      <c r="E114" s="177"/>
      <c r="F114" s="178"/>
      <c r="G114" s="178"/>
      <c r="H114" s="178"/>
      <c r="I114" s="178"/>
      <c r="J114" s="178"/>
      <c r="K114" s="178"/>
      <c r="L114" s="179"/>
      <c r="M114" s="185"/>
      <c r="N114" s="185"/>
    </row>
    <row r="115" spans="1:14">
      <c r="A115" s="1891"/>
      <c r="B115" s="1899"/>
      <c r="C115" s="110">
        <v>2020</v>
      </c>
      <c r="D115" s="38"/>
      <c r="E115" s="177"/>
      <c r="F115" s="178"/>
      <c r="G115" s="178"/>
      <c r="H115" s="178"/>
      <c r="I115" s="178"/>
      <c r="J115" s="178"/>
      <c r="K115" s="178"/>
      <c r="L115" s="179"/>
      <c r="M115" s="185"/>
      <c r="N115" s="185"/>
    </row>
    <row r="116" spans="1:14" ht="25.5" customHeight="1" thickBot="1">
      <c r="A116" s="1915"/>
      <c r="B116" s="1900"/>
      <c r="C116" s="113" t="s">
        <v>13</v>
      </c>
      <c r="D116" s="116">
        <f t="shared" ref="D116:I116" si="9">SUM(D109:D115)</f>
        <v>0</v>
      </c>
      <c r="E116" s="180">
        <f t="shared" si="9"/>
        <v>0</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051" t="s">
        <v>81</v>
      </c>
      <c r="B118" s="2052" t="s">
        <v>179</v>
      </c>
      <c r="C118" s="2058" t="s">
        <v>9</v>
      </c>
      <c r="D118" s="2414" t="s">
        <v>82</v>
      </c>
      <c r="E118" s="162" t="s">
        <v>79</v>
      </c>
      <c r="F118" s="549"/>
      <c r="G118" s="549"/>
      <c r="H118" s="549"/>
      <c r="I118" s="549"/>
      <c r="J118" s="549"/>
      <c r="K118" s="549"/>
      <c r="L118" s="550"/>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1898"/>
      <c r="B120" s="1899"/>
      <c r="C120" s="106">
        <v>2014</v>
      </c>
      <c r="D120" s="31"/>
      <c r="E120" s="174"/>
      <c r="F120" s="175"/>
      <c r="G120" s="175"/>
      <c r="H120" s="175"/>
      <c r="I120" s="175"/>
      <c r="J120" s="175"/>
      <c r="K120" s="175"/>
      <c r="L120" s="176"/>
      <c r="M120" s="185"/>
      <c r="N120" s="185"/>
    </row>
    <row r="121" spans="1:14">
      <c r="A121" s="1891"/>
      <c r="B121" s="1899"/>
      <c r="C121" s="110">
        <v>2015</v>
      </c>
      <c r="D121" s="38"/>
      <c r="E121" s="177"/>
      <c r="F121" s="178"/>
      <c r="G121" s="178"/>
      <c r="H121" s="178"/>
      <c r="I121" s="178"/>
      <c r="J121" s="178"/>
      <c r="K121" s="178"/>
      <c r="L121" s="179"/>
      <c r="M121" s="185"/>
      <c r="N121" s="185"/>
    </row>
    <row r="122" spans="1:14">
      <c r="A122" s="1891"/>
      <c r="B122" s="1899"/>
      <c r="C122" s="110">
        <v>2016</v>
      </c>
      <c r="D122" s="38"/>
      <c r="E122" s="177"/>
      <c r="F122" s="178"/>
      <c r="G122" s="178"/>
      <c r="H122" s="178"/>
      <c r="I122" s="178"/>
      <c r="J122" s="178"/>
      <c r="K122" s="178"/>
      <c r="L122" s="179"/>
      <c r="M122" s="185"/>
      <c r="N122" s="185"/>
    </row>
    <row r="123" spans="1:14">
      <c r="A123" s="1891"/>
      <c r="B123" s="1899"/>
      <c r="C123" s="110">
        <v>2017</v>
      </c>
      <c r="D123" s="38"/>
      <c r="E123" s="177"/>
      <c r="F123" s="178"/>
      <c r="G123" s="178"/>
      <c r="H123" s="178"/>
      <c r="I123" s="178"/>
      <c r="J123" s="178"/>
      <c r="K123" s="178"/>
      <c r="L123" s="179"/>
      <c r="M123" s="185"/>
      <c r="N123" s="185"/>
    </row>
    <row r="124" spans="1:14">
      <c r="A124" s="1891"/>
      <c r="B124" s="1899"/>
      <c r="C124" s="110">
        <v>2018</v>
      </c>
      <c r="D124" s="38"/>
      <c r="E124" s="177"/>
      <c r="F124" s="178"/>
      <c r="G124" s="178"/>
      <c r="H124" s="178"/>
      <c r="I124" s="178"/>
      <c r="J124" s="178"/>
      <c r="K124" s="178"/>
      <c r="L124" s="179"/>
      <c r="M124" s="185"/>
      <c r="N124" s="185"/>
    </row>
    <row r="125" spans="1:14">
      <c r="A125" s="1891"/>
      <c r="B125" s="1899"/>
      <c r="C125" s="110">
        <v>2019</v>
      </c>
      <c r="D125" s="38"/>
      <c r="E125" s="177"/>
      <c r="F125" s="178"/>
      <c r="G125" s="178"/>
      <c r="H125" s="178"/>
      <c r="I125" s="178"/>
      <c r="J125" s="178"/>
      <c r="K125" s="178"/>
      <c r="L125" s="179"/>
      <c r="M125" s="185"/>
      <c r="N125" s="185"/>
    </row>
    <row r="126" spans="1:14">
      <c r="A126" s="1891"/>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051" t="s">
        <v>84</v>
      </c>
      <c r="B129" s="2052" t="s">
        <v>179</v>
      </c>
      <c r="C129" s="1534" t="s">
        <v>9</v>
      </c>
      <c r="D129" s="189" t="s">
        <v>85</v>
      </c>
      <c r="E129" s="553"/>
      <c r="F129" s="553"/>
      <c r="G129" s="191"/>
      <c r="H129" s="185"/>
      <c r="I129" s="185"/>
      <c r="J129" s="185"/>
      <c r="K129" s="185"/>
      <c r="L129" s="185"/>
      <c r="M129" s="185"/>
      <c r="N129" s="185"/>
    </row>
    <row r="130" spans="1:16" ht="77.25" customHeight="1">
      <c r="A130" s="1910"/>
      <c r="B130" s="1912"/>
      <c r="C130" s="1528"/>
      <c r="D130" s="166" t="s">
        <v>86</v>
      </c>
      <c r="E130" s="193" t="s">
        <v>87</v>
      </c>
      <c r="F130" s="167" t="s">
        <v>88</v>
      </c>
      <c r="G130" s="194" t="s">
        <v>13</v>
      </c>
      <c r="H130" s="185"/>
      <c r="I130" s="185"/>
      <c r="J130" s="185"/>
      <c r="K130" s="185"/>
      <c r="L130" s="185"/>
      <c r="M130" s="185"/>
      <c r="N130" s="185"/>
    </row>
    <row r="131" spans="1:16" ht="15" customHeight="1">
      <c r="A131" s="1874"/>
      <c r="B131" s="1855"/>
      <c r="C131" s="106">
        <v>2015</v>
      </c>
      <c r="D131" s="30"/>
      <c r="E131" s="31"/>
      <c r="F131" s="31"/>
      <c r="G131" s="195">
        <f t="shared" ref="G131:G136" si="11">SUM(D131:F131)</f>
        <v>0</v>
      </c>
      <c r="H131" s="185"/>
      <c r="I131" s="185"/>
      <c r="J131" s="185"/>
      <c r="K131" s="185"/>
      <c r="L131" s="185"/>
      <c r="M131" s="185"/>
      <c r="N131" s="185"/>
    </row>
    <row r="132" spans="1:16">
      <c r="A132" s="1854"/>
      <c r="B132" s="1855"/>
      <c r="C132" s="110">
        <v>2016</v>
      </c>
      <c r="D132" s="37"/>
      <c r="E132" s="38"/>
      <c r="F132" s="38"/>
      <c r="G132" s="195">
        <f t="shared" si="11"/>
        <v>0</v>
      </c>
      <c r="H132" s="185"/>
      <c r="I132" s="185"/>
      <c r="J132" s="185"/>
      <c r="K132" s="185"/>
      <c r="L132" s="185"/>
      <c r="M132" s="185"/>
      <c r="N132" s="185"/>
    </row>
    <row r="133" spans="1:16">
      <c r="A133" s="1854"/>
      <c r="B133" s="1855"/>
      <c r="C133" s="110">
        <v>2017</v>
      </c>
      <c r="D133" s="37"/>
      <c r="E133" s="38"/>
      <c r="F133" s="38"/>
      <c r="G133" s="195">
        <f t="shared" si="11"/>
        <v>0</v>
      </c>
      <c r="H133" s="185"/>
      <c r="I133" s="185"/>
      <c r="J133" s="185"/>
      <c r="K133" s="185"/>
      <c r="L133" s="185"/>
      <c r="M133" s="185"/>
      <c r="N133" s="185"/>
    </row>
    <row r="134" spans="1:16">
      <c r="A134" s="1854"/>
      <c r="B134" s="1855"/>
      <c r="C134" s="110">
        <v>2018</v>
      </c>
      <c r="D134" s="37"/>
      <c r="E134" s="38"/>
      <c r="F134" s="38"/>
      <c r="G134" s="195">
        <f t="shared" si="11"/>
        <v>0</v>
      </c>
      <c r="H134" s="185"/>
      <c r="I134" s="185"/>
      <c r="J134" s="185"/>
      <c r="K134" s="185"/>
      <c r="L134" s="185"/>
      <c r="M134" s="185"/>
      <c r="N134" s="185"/>
    </row>
    <row r="135" spans="1:16">
      <c r="A135" s="1854"/>
      <c r="B135" s="1855"/>
      <c r="C135" s="110">
        <v>2019</v>
      </c>
      <c r="D135" s="37"/>
      <c r="E135" s="38"/>
      <c r="F135" s="38"/>
      <c r="G135" s="195">
        <f t="shared" si="11"/>
        <v>0</v>
      </c>
      <c r="H135" s="185"/>
      <c r="I135" s="185"/>
      <c r="J135" s="185"/>
      <c r="K135" s="185"/>
      <c r="L135" s="185"/>
      <c r="M135" s="185"/>
      <c r="N135" s="185"/>
    </row>
    <row r="136" spans="1:16">
      <c r="A136" s="1854"/>
      <c r="B136" s="1855"/>
      <c r="C136" s="110">
        <v>2020</v>
      </c>
      <c r="D136" s="37"/>
      <c r="E136" s="38"/>
      <c r="F136" s="38"/>
      <c r="G136" s="195">
        <f t="shared" si="11"/>
        <v>0</v>
      </c>
      <c r="H136" s="185"/>
      <c r="I136" s="185"/>
      <c r="J136" s="185"/>
      <c r="K136" s="185"/>
      <c r="L136" s="185"/>
      <c r="M136" s="185"/>
      <c r="N136" s="185"/>
    </row>
    <row r="137" spans="1:16" ht="17.25" customHeight="1" thickBot="1">
      <c r="A137" s="1856"/>
      <c r="B137" s="1857"/>
      <c r="C137" s="113" t="s">
        <v>13</v>
      </c>
      <c r="D137" s="139">
        <f>SUM(D131:D136)</f>
        <v>0</v>
      </c>
      <c r="E137" s="139">
        <f t="shared" ref="E137:F137" si="12">SUM(E131:E136)</f>
        <v>0</v>
      </c>
      <c r="F137" s="139">
        <f t="shared" si="12"/>
        <v>0</v>
      </c>
      <c r="G137" s="196">
        <f>SUM(G131:G136)</f>
        <v>0</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050" t="s">
        <v>91</v>
      </c>
      <c r="B142" s="2048" t="s">
        <v>179</v>
      </c>
      <c r="C142" s="2043" t="s">
        <v>9</v>
      </c>
      <c r="D142" s="554" t="s">
        <v>92</v>
      </c>
      <c r="E142" s="555"/>
      <c r="F142" s="555"/>
      <c r="G142" s="555"/>
      <c r="H142" s="555"/>
      <c r="I142" s="556"/>
      <c r="J142" s="2044" t="s">
        <v>93</v>
      </c>
      <c r="K142" s="2045"/>
      <c r="L142" s="2045"/>
      <c r="M142" s="2045"/>
      <c r="N142" s="2046"/>
      <c r="O142" s="165"/>
      <c r="P142" s="165"/>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c r="B144" s="1899"/>
      <c r="C144" s="106">
        <v>2014</v>
      </c>
      <c r="D144" s="30"/>
      <c r="E144" s="30"/>
      <c r="F144" s="31"/>
      <c r="G144" s="175"/>
      <c r="H144" s="175"/>
      <c r="I144" s="213">
        <f>D144+F144+G144+H144</f>
        <v>0</v>
      </c>
      <c r="J144" s="214"/>
      <c r="K144" s="215"/>
      <c r="L144" s="214"/>
      <c r="M144" s="215"/>
      <c r="N144" s="216"/>
      <c r="O144" s="165"/>
      <c r="P144" s="165"/>
    </row>
    <row r="145" spans="1:16" ht="19.5" customHeight="1">
      <c r="A145" s="1891"/>
      <c r="B145" s="1899"/>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1891"/>
      <c r="B146" s="1899"/>
      <c r="C146" s="110">
        <v>2016</v>
      </c>
      <c r="D146" s="37"/>
      <c r="E146" s="37"/>
      <c r="F146" s="38"/>
      <c r="G146" s="178"/>
      <c r="H146" s="178"/>
      <c r="I146" s="213">
        <f t="shared" si="13"/>
        <v>0</v>
      </c>
      <c r="J146" s="217"/>
      <c r="K146" s="218"/>
      <c r="L146" s="217"/>
      <c r="M146" s="218"/>
      <c r="N146" s="219"/>
      <c r="O146" s="165"/>
      <c r="P146" s="165"/>
    </row>
    <row r="147" spans="1:16" ht="17.25" customHeight="1">
      <c r="A147" s="1891"/>
      <c r="B147" s="1899"/>
      <c r="C147" s="110">
        <v>2017</v>
      </c>
      <c r="D147" s="37"/>
      <c r="E147" s="37"/>
      <c r="F147" s="38"/>
      <c r="G147" s="178"/>
      <c r="H147" s="178"/>
      <c r="I147" s="213">
        <f t="shared" si="13"/>
        <v>0</v>
      </c>
      <c r="J147" s="217"/>
      <c r="K147" s="218"/>
      <c r="L147" s="217"/>
      <c r="M147" s="218"/>
      <c r="N147" s="219"/>
      <c r="O147" s="165"/>
      <c r="P147" s="165"/>
    </row>
    <row r="148" spans="1:16" ht="19.5" customHeight="1">
      <c r="A148" s="1891"/>
      <c r="B148" s="1899"/>
      <c r="C148" s="110">
        <v>2018</v>
      </c>
      <c r="D148" s="37"/>
      <c r="E148" s="37"/>
      <c r="F148" s="38"/>
      <c r="G148" s="178"/>
      <c r="H148" s="178"/>
      <c r="I148" s="213">
        <f t="shared" si="13"/>
        <v>0</v>
      </c>
      <c r="J148" s="217"/>
      <c r="K148" s="218"/>
      <c r="L148" s="217"/>
      <c r="M148" s="218"/>
      <c r="N148" s="219"/>
      <c r="O148" s="165"/>
      <c r="P148" s="165"/>
    </row>
    <row r="149" spans="1:16" ht="19.5" customHeight="1">
      <c r="A149" s="1891"/>
      <c r="B149" s="1899"/>
      <c r="C149" s="110">
        <v>2019</v>
      </c>
      <c r="D149" s="37"/>
      <c r="E149" s="37"/>
      <c r="F149" s="38"/>
      <c r="G149" s="178"/>
      <c r="H149" s="178"/>
      <c r="I149" s="213">
        <f t="shared" si="13"/>
        <v>0</v>
      </c>
      <c r="J149" s="217"/>
      <c r="K149" s="218"/>
      <c r="L149" s="217"/>
      <c r="M149" s="218"/>
      <c r="N149" s="219"/>
      <c r="O149" s="165"/>
      <c r="P149" s="165"/>
    </row>
    <row r="150" spans="1:16" ht="18.75" customHeight="1">
      <c r="A150" s="1891"/>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2047" t="s">
        <v>105</v>
      </c>
      <c r="B153" s="2048" t="s">
        <v>179</v>
      </c>
      <c r="C153" s="2049" t="s">
        <v>9</v>
      </c>
      <c r="D153" s="557" t="s">
        <v>106</v>
      </c>
      <c r="E153" s="557"/>
      <c r="F153" s="558"/>
      <c r="G153" s="558"/>
      <c r="H153" s="557" t="s">
        <v>107</v>
      </c>
      <c r="I153" s="557"/>
      <c r="J153" s="559"/>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1898"/>
      <c r="B155" s="1899"/>
      <c r="C155" s="233">
        <v>2014</v>
      </c>
      <c r="D155" s="214"/>
      <c r="E155" s="175"/>
      <c r="F155" s="215"/>
      <c r="G155" s="213">
        <f>SUM(D155:F155)</f>
        <v>0</v>
      </c>
      <c r="H155" s="214"/>
      <c r="I155" s="175"/>
      <c r="J155" s="176"/>
      <c r="O155" s="165"/>
      <c r="P155" s="165"/>
    </row>
    <row r="156" spans="1:16" ht="19.5" customHeight="1">
      <c r="A156" s="1891"/>
      <c r="B156" s="1899"/>
      <c r="C156" s="234">
        <v>2015</v>
      </c>
      <c r="D156" s="217"/>
      <c r="E156" s="178"/>
      <c r="F156" s="218"/>
      <c r="G156" s="213">
        <f t="shared" ref="G156:G161" si="15">SUM(D156:F156)</f>
        <v>0</v>
      </c>
      <c r="H156" s="217"/>
      <c r="I156" s="178"/>
      <c r="J156" s="179"/>
      <c r="O156" s="165"/>
      <c r="P156" s="165"/>
    </row>
    <row r="157" spans="1:16" ht="17.25" customHeight="1">
      <c r="A157" s="1891"/>
      <c r="B157" s="1899"/>
      <c r="C157" s="234">
        <v>2016</v>
      </c>
      <c r="D157" s="217"/>
      <c r="E157" s="178"/>
      <c r="F157" s="218"/>
      <c r="G157" s="213">
        <f t="shared" si="15"/>
        <v>0</v>
      </c>
      <c r="H157" s="217"/>
      <c r="I157" s="178"/>
      <c r="J157" s="179"/>
      <c r="O157" s="165"/>
      <c r="P157" s="165"/>
    </row>
    <row r="158" spans="1:16" ht="15" customHeight="1">
      <c r="A158" s="1891"/>
      <c r="B158" s="1899"/>
      <c r="C158" s="234">
        <v>2017</v>
      </c>
      <c r="D158" s="217"/>
      <c r="E158" s="178"/>
      <c r="F158" s="218"/>
      <c r="G158" s="213">
        <f t="shared" si="15"/>
        <v>0</v>
      </c>
      <c r="H158" s="217"/>
      <c r="I158" s="178"/>
      <c r="J158" s="179"/>
      <c r="O158" s="165"/>
      <c r="P158" s="165"/>
    </row>
    <row r="159" spans="1:16" ht="19.5" customHeight="1">
      <c r="A159" s="1891"/>
      <c r="B159" s="1899"/>
      <c r="C159" s="234">
        <v>2018</v>
      </c>
      <c r="D159" s="217"/>
      <c r="E159" s="178"/>
      <c r="F159" s="218"/>
      <c r="G159" s="213">
        <f t="shared" si="15"/>
        <v>0</v>
      </c>
      <c r="H159" s="217"/>
      <c r="I159" s="178"/>
      <c r="J159" s="179"/>
      <c r="O159" s="165"/>
      <c r="P159" s="165"/>
    </row>
    <row r="160" spans="1:16" ht="15" customHeight="1">
      <c r="A160" s="1891"/>
      <c r="B160" s="1899"/>
      <c r="C160" s="234">
        <v>2019</v>
      </c>
      <c r="D160" s="217"/>
      <c r="E160" s="178"/>
      <c r="F160" s="218"/>
      <c r="G160" s="213">
        <f t="shared" si="15"/>
        <v>0</v>
      </c>
      <c r="H160" s="217"/>
      <c r="I160" s="178"/>
      <c r="J160" s="179"/>
      <c r="O160" s="165"/>
      <c r="P160" s="165"/>
    </row>
    <row r="161" spans="1:18" ht="17.25" customHeight="1">
      <c r="A161" s="1891"/>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560"/>
      <c r="F163" s="165"/>
      <c r="G163" s="165"/>
      <c r="H163" s="165"/>
      <c r="I163" s="165"/>
      <c r="J163" s="241"/>
      <c r="K163" s="242"/>
    </row>
    <row r="164" spans="1:18" ht="95.25" customHeight="1">
      <c r="A164" s="243" t="s">
        <v>115</v>
      </c>
      <c r="B164" s="405" t="s">
        <v>181</v>
      </c>
      <c r="C164" s="1567" t="s">
        <v>9</v>
      </c>
      <c r="D164" s="246" t="s">
        <v>117</v>
      </c>
      <c r="E164" s="246" t="s">
        <v>118</v>
      </c>
      <c r="F164" s="561" t="s">
        <v>119</v>
      </c>
      <c r="G164" s="246" t="s">
        <v>120</v>
      </c>
      <c r="H164" s="246" t="s">
        <v>121</v>
      </c>
      <c r="I164" s="248" t="s">
        <v>122</v>
      </c>
      <c r="J164" s="249" t="s">
        <v>123</v>
      </c>
      <c r="K164" s="249" t="s">
        <v>124</v>
      </c>
      <c r="L164" s="1531"/>
    </row>
    <row r="165" spans="1:18" ht="15.75" customHeight="1">
      <c r="A165" s="1878"/>
      <c r="B165" s="1879"/>
      <c r="C165" s="251">
        <v>2014</v>
      </c>
      <c r="D165" s="175"/>
      <c r="E165" s="175"/>
      <c r="F165" s="175"/>
      <c r="G165" s="175"/>
      <c r="H165" s="175"/>
      <c r="I165" s="176"/>
      <c r="J165" s="252">
        <f>SUM(D165,F165,H165)</f>
        <v>0</v>
      </c>
      <c r="K165" s="253">
        <f>SUM(E165,G165,I165)</f>
        <v>0</v>
      </c>
      <c r="L165" s="1531"/>
    </row>
    <row r="166" spans="1:18">
      <c r="A166" s="1880"/>
      <c r="B166" s="1881"/>
      <c r="C166" s="254">
        <v>2015</v>
      </c>
      <c r="D166" s="255"/>
      <c r="E166" s="255"/>
      <c r="F166" s="255"/>
      <c r="G166" s="255"/>
      <c r="H166" s="255"/>
      <c r="I166" s="256"/>
      <c r="J166" s="407">
        <f t="shared" ref="J166:K171" si="17">SUM(D166,F166,H166)</f>
        <v>0</v>
      </c>
      <c r="K166" s="408">
        <f t="shared" si="17"/>
        <v>0</v>
      </c>
      <c r="L166" s="1531"/>
    </row>
    <row r="167" spans="1:18">
      <c r="A167" s="1880"/>
      <c r="B167" s="1881"/>
      <c r="C167" s="254">
        <v>2016</v>
      </c>
      <c r="D167" s="255"/>
      <c r="E167" s="255"/>
      <c r="F167" s="255"/>
      <c r="G167" s="255"/>
      <c r="H167" s="255"/>
      <c r="I167" s="256"/>
      <c r="J167" s="407">
        <f t="shared" si="17"/>
        <v>0</v>
      </c>
      <c r="K167" s="408">
        <f t="shared" si="17"/>
        <v>0</v>
      </c>
    </row>
    <row r="168" spans="1:18">
      <c r="A168" s="1880"/>
      <c r="B168" s="1881"/>
      <c r="C168" s="254">
        <v>2017</v>
      </c>
      <c r="D168" s="255"/>
      <c r="E168" s="165"/>
      <c r="F168" s="255"/>
      <c r="G168" s="255"/>
      <c r="H168" s="255"/>
      <c r="I168" s="256"/>
      <c r="J168" s="407">
        <f t="shared" si="17"/>
        <v>0</v>
      </c>
      <c r="K168" s="408">
        <f t="shared" si="17"/>
        <v>0</v>
      </c>
    </row>
    <row r="169" spans="1:18">
      <c r="A169" s="1880"/>
      <c r="B169" s="1881"/>
      <c r="C169" s="262">
        <v>2018</v>
      </c>
      <c r="D169" s="255"/>
      <c r="E169" s="255"/>
      <c r="F169" s="255"/>
      <c r="G169" s="263"/>
      <c r="H169" s="255"/>
      <c r="I169" s="256"/>
      <c r="J169" s="407">
        <f t="shared" si="17"/>
        <v>0</v>
      </c>
      <c r="K169" s="408">
        <f t="shared" si="17"/>
        <v>0</v>
      </c>
      <c r="L169" s="1531"/>
    </row>
    <row r="170" spans="1:18">
      <c r="A170" s="1880"/>
      <c r="B170" s="1881"/>
      <c r="C170" s="254">
        <v>2019</v>
      </c>
      <c r="D170" s="165"/>
      <c r="E170" s="255"/>
      <c r="F170" s="255"/>
      <c r="G170" s="255"/>
      <c r="H170" s="263"/>
      <c r="I170" s="256"/>
      <c r="J170" s="407">
        <f t="shared" si="17"/>
        <v>0</v>
      </c>
      <c r="K170" s="408">
        <f t="shared" si="17"/>
        <v>0</v>
      </c>
      <c r="L170" s="1531"/>
    </row>
    <row r="171" spans="1:18">
      <c r="A171" s="1880"/>
      <c r="B171" s="1881"/>
      <c r="C171" s="262">
        <v>2020</v>
      </c>
      <c r="D171" s="255"/>
      <c r="E171" s="255"/>
      <c r="F171" s="255"/>
      <c r="G171" s="255"/>
      <c r="H171" s="255"/>
      <c r="I171" s="256"/>
      <c r="J171" s="407">
        <f t="shared" si="17"/>
        <v>0</v>
      </c>
      <c r="K171" s="408">
        <f t="shared" si="17"/>
        <v>0</v>
      </c>
      <c r="L171" s="1531"/>
    </row>
    <row r="172" spans="1:18" ht="41.25" customHeight="1" thickBot="1">
      <c r="A172" s="1882"/>
      <c r="B172" s="1883"/>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1531"/>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039" t="s">
        <v>127</v>
      </c>
      <c r="B176" s="2037" t="s">
        <v>182</v>
      </c>
      <c r="C176" s="2040" t="s">
        <v>9</v>
      </c>
      <c r="D176" s="273" t="s">
        <v>128</v>
      </c>
      <c r="E176" s="562"/>
      <c r="F176" s="562"/>
      <c r="G176" s="563"/>
      <c r="H176" s="276"/>
      <c r="I176" s="1888" t="s">
        <v>129</v>
      </c>
      <c r="J176" s="2041"/>
      <c r="K176" s="2041"/>
      <c r="L176" s="2041"/>
      <c r="M176" s="2041"/>
      <c r="N176" s="2041"/>
      <c r="O176" s="2042"/>
    </row>
    <row r="177" spans="1:15" s="56" customFormat="1" ht="129.7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1930"/>
      <c r="B178" s="2621" t="s">
        <v>479</v>
      </c>
      <c r="C178" s="106">
        <v>2014</v>
      </c>
      <c r="D178" s="30"/>
      <c r="E178" s="31"/>
      <c r="F178" s="31"/>
      <c r="G178" s="284">
        <f>SUM(D178:F178)</f>
        <v>0</v>
      </c>
      <c r="H178" s="155"/>
      <c r="I178" s="155"/>
      <c r="J178" s="31"/>
      <c r="K178" s="31"/>
      <c r="L178" s="31"/>
      <c r="M178" s="31"/>
      <c r="N178" s="31"/>
      <c r="O178" s="34"/>
    </row>
    <row r="179" spans="1:15">
      <c r="A179" s="1930"/>
      <c r="B179" s="2622"/>
      <c r="C179" s="110">
        <v>2015</v>
      </c>
      <c r="D179" s="37">
        <v>2</v>
      </c>
      <c r="E179" s="38"/>
      <c r="F179" s="38"/>
      <c r="G179" s="284">
        <f t="shared" ref="G179:G184" si="19">SUM(D179:F179)</f>
        <v>2</v>
      </c>
      <c r="H179" s="411">
        <v>2</v>
      </c>
      <c r="I179" s="112">
        <v>1</v>
      </c>
      <c r="J179" s="38">
        <v>1</v>
      </c>
      <c r="K179" s="38"/>
      <c r="L179" s="38"/>
      <c r="M179" s="38"/>
      <c r="N179" s="38"/>
      <c r="O179" s="88"/>
    </row>
    <row r="180" spans="1:15">
      <c r="A180" s="1930"/>
      <c r="B180" s="2622"/>
      <c r="C180" s="110">
        <v>2016</v>
      </c>
      <c r="D180" s="37">
        <v>7</v>
      </c>
      <c r="E180" s="38">
        <v>1</v>
      </c>
      <c r="F180" s="38">
        <v>6</v>
      </c>
      <c r="G180" s="284">
        <f t="shared" si="19"/>
        <v>14</v>
      </c>
      <c r="H180" s="411">
        <v>17</v>
      </c>
      <c r="I180" s="112">
        <v>7</v>
      </c>
      <c r="J180" s="38">
        <v>1</v>
      </c>
      <c r="K180" s="38">
        <v>6</v>
      </c>
      <c r="L180" s="38"/>
      <c r="M180" s="38"/>
      <c r="N180" s="38"/>
      <c r="O180" s="88"/>
    </row>
    <row r="181" spans="1:15">
      <c r="A181" s="1930"/>
      <c r="B181" s="2622"/>
      <c r="C181" s="110">
        <v>2017</v>
      </c>
      <c r="D181" s="37">
        <v>1</v>
      </c>
      <c r="E181" s="38">
        <v>1</v>
      </c>
      <c r="F181" s="38">
        <v>2</v>
      </c>
      <c r="G181" s="284">
        <f t="shared" si="19"/>
        <v>4</v>
      </c>
      <c r="H181" s="411">
        <v>8</v>
      </c>
      <c r="I181" s="112">
        <v>4</v>
      </c>
      <c r="J181" s="38"/>
      <c r="K181" s="38"/>
      <c r="L181" s="38"/>
      <c r="M181" s="38"/>
      <c r="N181" s="38"/>
      <c r="O181" s="88"/>
    </row>
    <row r="182" spans="1:15">
      <c r="A182" s="1930"/>
      <c r="B182" s="2622"/>
      <c r="C182" s="110">
        <v>2018</v>
      </c>
      <c r="D182" s="37"/>
      <c r="E182" s="38"/>
      <c r="F182" s="38"/>
      <c r="G182" s="284">
        <f t="shared" si="19"/>
        <v>0</v>
      </c>
      <c r="H182" s="411"/>
      <c r="I182" s="112"/>
      <c r="J182" s="38"/>
      <c r="K182" s="38"/>
      <c r="L182" s="38"/>
      <c r="M182" s="38"/>
      <c r="N182" s="38"/>
      <c r="O182" s="88"/>
    </row>
    <row r="183" spans="1:15">
      <c r="A183" s="1930"/>
      <c r="B183" s="2622"/>
      <c r="C183" s="110">
        <v>2019</v>
      </c>
      <c r="D183" s="37"/>
      <c r="E183" s="38"/>
      <c r="F183" s="38"/>
      <c r="G183" s="284">
        <f t="shared" si="19"/>
        <v>0</v>
      </c>
      <c r="H183" s="411"/>
      <c r="I183" s="112"/>
      <c r="J183" s="38"/>
      <c r="K183" s="38"/>
      <c r="L183" s="38"/>
      <c r="M183" s="38"/>
      <c r="N183" s="38"/>
      <c r="O183" s="88"/>
    </row>
    <row r="184" spans="1:15">
      <c r="A184" s="1930"/>
      <c r="B184" s="2622"/>
      <c r="C184" s="110">
        <v>2020</v>
      </c>
      <c r="D184" s="37"/>
      <c r="E184" s="38"/>
      <c r="F184" s="38"/>
      <c r="G184" s="284">
        <f t="shared" si="19"/>
        <v>0</v>
      </c>
      <c r="H184" s="411"/>
      <c r="I184" s="112"/>
      <c r="J184" s="38"/>
      <c r="K184" s="38"/>
      <c r="L184" s="38"/>
      <c r="M184" s="38"/>
      <c r="N184" s="38"/>
      <c r="O184" s="88"/>
    </row>
    <row r="185" spans="1:15" ht="271.5" customHeight="1" thickBot="1">
      <c r="A185" s="2572"/>
      <c r="B185" s="2623"/>
      <c r="C185" s="113" t="s">
        <v>13</v>
      </c>
      <c r="D185" s="139">
        <f>SUM(D178:D184)</f>
        <v>10</v>
      </c>
      <c r="E185" s="116">
        <f>SUM(E178:E184)</f>
        <v>2</v>
      </c>
      <c r="F185" s="116">
        <f>SUM(F178:F184)</f>
        <v>8</v>
      </c>
      <c r="G185" s="220">
        <f t="shared" ref="G185:O185" si="20">SUM(G178:G184)</f>
        <v>20</v>
      </c>
      <c r="H185" s="285">
        <f t="shared" si="20"/>
        <v>27</v>
      </c>
      <c r="I185" s="115">
        <f t="shared" si="20"/>
        <v>12</v>
      </c>
      <c r="J185" s="116">
        <f t="shared" si="20"/>
        <v>2</v>
      </c>
      <c r="K185" s="116">
        <f t="shared" si="20"/>
        <v>6</v>
      </c>
      <c r="L185" s="116">
        <f t="shared" si="20"/>
        <v>0</v>
      </c>
      <c r="M185" s="116">
        <f t="shared" si="20"/>
        <v>0</v>
      </c>
      <c r="N185" s="116">
        <f t="shared" si="20"/>
        <v>0</v>
      </c>
      <c r="O185" s="117">
        <f t="shared" si="20"/>
        <v>0</v>
      </c>
    </row>
    <row r="186" spans="1:15" ht="33" customHeight="1" thickBot="1"/>
    <row r="187" spans="1:15" ht="19.5" customHeight="1">
      <c r="A187" s="1861" t="s">
        <v>137</v>
      </c>
      <c r="B187" s="2037" t="s">
        <v>182</v>
      </c>
      <c r="C187" s="1865" t="s">
        <v>9</v>
      </c>
      <c r="D187" s="1867" t="s">
        <v>138</v>
      </c>
      <c r="E187" s="2038"/>
      <c r="F187" s="2038"/>
      <c r="G187" s="1869"/>
      <c r="H187" s="1870"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2618"/>
      <c r="B189" s="2621" t="s">
        <v>480</v>
      </c>
      <c r="C189" s="290">
        <v>2014</v>
      </c>
      <c r="D189" s="133"/>
      <c r="E189" s="109"/>
      <c r="F189" s="109"/>
      <c r="G189" s="291">
        <f>SUM(D189:F189)</f>
        <v>0</v>
      </c>
      <c r="H189" s="108"/>
      <c r="I189" s="109"/>
      <c r="J189" s="109"/>
      <c r="K189" s="109"/>
      <c r="L189" s="134"/>
    </row>
    <row r="190" spans="1:15">
      <c r="A190" s="2619"/>
      <c r="B190" s="2622"/>
      <c r="C190" s="73">
        <v>2015</v>
      </c>
      <c r="D190" s="37">
        <v>100</v>
      </c>
      <c r="E190" s="38"/>
      <c r="F190" s="38"/>
      <c r="G190" s="291">
        <f t="shared" ref="G190:G195" si="21">SUM(D190:F190)</f>
        <v>100</v>
      </c>
      <c r="H190" s="112"/>
      <c r="I190" s="38"/>
      <c r="J190" s="38">
        <v>22</v>
      </c>
      <c r="K190" s="38"/>
      <c r="L190" s="88">
        <v>78</v>
      </c>
    </row>
    <row r="191" spans="1:15">
      <c r="A191" s="2619"/>
      <c r="B191" s="2622"/>
      <c r="C191" s="73">
        <v>2016</v>
      </c>
      <c r="D191" s="37">
        <v>690</v>
      </c>
      <c r="E191" s="38">
        <v>50</v>
      </c>
      <c r="F191" s="38">
        <f>180+150+25+100</f>
        <v>455</v>
      </c>
      <c r="G191" s="291">
        <f>SUM(D191:F191)</f>
        <v>1195</v>
      </c>
      <c r="H191" s="112"/>
      <c r="I191" s="38">
        <v>3</v>
      </c>
      <c r="J191" s="38">
        <v>850</v>
      </c>
      <c r="K191" s="38"/>
      <c r="L191" s="88">
        <v>342</v>
      </c>
    </row>
    <row r="192" spans="1:15">
      <c r="A192" s="2619"/>
      <c r="B192" s="2622"/>
      <c r="C192" s="73">
        <v>2017</v>
      </c>
      <c r="D192" s="37">
        <v>65</v>
      </c>
      <c r="E192" s="38">
        <v>35</v>
      </c>
      <c r="F192" s="38">
        <v>125</v>
      </c>
      <c r="G192" s="291">
        <f t="shared" si="21"/>
        <v>225</v>
      </c>
      <c r="H192" s="112"/>
      <c r="I192" s="38">
        <v>3</v>
      </c>
      <c r="J192" s="38">
        <v>37</v>
      </c>
      <c r="K192" s="38"/>
      <c r="L192" s="88">
        <v>185</v>
      </c>
    </row>
    <row r="193" spans="1:14">
      <c r="A193" s="2619"/>
      <c r="B193" s="2622"/>
      <c r="C193" s="73">
        <v>2018</v>
      </c>
      <c r="D193" s="37"/>
      <c r="E193" s="38"/>
      <c r="F193" s="38"/>
      <c r="G193" s="291">
        <f t="shared" si="21"/>
        <v>0</v>
      </c>
      <c r="H193" s="112"/>
      <c r="I193" s="38"/>
      <c r="J193" s="38"/>
      <c r="K193" s="38"/>
      <c r="L193" s="88"/>
    </row>
    <row r="194" spans="1:14">
      <c r="A194" s="2619"/>
      <c r="B194" s="2622"/>
      <c r="C194" s="73">
        <v>2019</v>
      </c>
      <c r="D194" s="37"/>
      <c r="E194" s="38"/>
      <c r="F194" s="38"/>
      <c r="G194" s="291">
        <f t="shared" si="21"/>
        <v>0</v>
      </c>
      <c r="H194" s="112"/>
      <c r="I194" s="38"/>
      <c r="J194" s="38"/>
      <c r="K194" s="38"/>
      <c r="L194" s="88"/>
    </row>
    <row r="195" spans="1:14">
      <c r="A195" s="2619"/>
      <c r="B195" s="2622"/>
      <c r="C195" s="73">
        <v>2020</v>
      </c>
      <c r="D195" s="37"/>
      <c r="E195" s="38"/>
      <c r="F195" s="38"/>
      <c r="G195" s="291">
        <f t="shared" si="21"/>
        <v>0</v>
      </c>
      <c r="H195" s="112"/>
      <c r="I195" s="38"/>
      <c r="J195" s="38"/>
      <c r="K195" s="38"/>
      <c r="L195" s="88"/>
    </row>
    <row r="196" spans="1:14" ht="304.5" customHeight="1" thickBot="1">
      <c r="A196" s="2620"/>
      <c r="B196" s="2623"/>
      <c r="C196" s="136" t="s">
        <v>13</v>
      </c>
      <c r="D196" s="139">
        <f t="shared" ref="D196:K196" si="22">SUM(D189:D195)</f>
        <v>855</v>
      </c>
      <c r="E196" s="116">
        <f t="shared" si="22"/>
        <v>85</v>
      </c>
      <c r="F196" s="116">
        <v>345</v>
      </c>
      <c r="G196" s="292">
        <f t="shared" si="22"/>
        <v>1520</v>
      </c>
      <c r="H196" s="115">
        <f t="shared" si="22"/>
        <v>0</v>
      </c>
      <c r="I196" s="116">
        <f t="shared" si="22"/>
        <v>6</v>
      </c>
      <c r="J196" s="116">
        <f t="shared" si="22"/>
        <v>909</v>
      </c>
      <c r="K196" s="116">
        <f t="shared" si="22"/>
        <v>0</v>
      </c>
      <c r="L196" s="117">
        <f>SUM(L190:L195)</f>
        <v>605</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569" t="s">
        <v>150</v>
      </c>
      <c r="B201" s="417" t="s">
        <v>182</v>
      </c>
      <c r="C201" s="298" t="s">
        <v>9</v>
      </c>
      <c r="D201" s="299" t="s">
        <v>151</v>
      </c>
      <c r="E201" s="300" t="s">
        <v>152</v>
      </c>
      <c r="F201" s="300" t="s">
        <v>153</v>
      </c>
      <c r="G201" s="298" t="s">
        <v>154</v>
      </c>
      <c r="H201" s="570" t="s">
        <v>155</v>
      </c>
      <c r="I201" s="302" t="s">
        <v>156</v>
      </c>
      <c r="J201" s="303" t="s">
        <v>157</v>
      </c>
      <c r="K201" s="300" t="s">
        <v>158</v>
      </c>
      <c r="L201" s="304" t="s">
        <v>159</v>
      </c>
    </row>
    <row r="202" spans="1:14" ht="15" customHeight="1">
      <c r="A202" s="1854"/>
      <c r="B202" s="1855"/>
      <c r="C202" s="72">
        <v>2014</v>
      </c>
      <c r="D202" s="30"/>
      <c r="E202" s="31"/>
      <c r="F202" s="31"/>
      <c r="G202" s="29"/>
      <c r="H202" s="305"/>
      <c r="I202" s="306"/>
      <c r="J202" s="307"/>
      <c r="K202" s="31"/>
      <c r="L202" s="34"/>
    </row>
    <row r="203" spans="1:14">
      <c r="A203" s="1854"/>
      <c r="B203" s="1855"/>
      <c r="C203" s="73">
        <v>2015</v>
      </c>
      <c r="D203" s="37"/>
      <c r="E203" s="38"/>
      <c r="F203" s="38"/>
      <c r="G203" s="36"/>
      <c r="H203" s="308"/>
      <c r="I203" s="309"/>
      <c r="J203" s="310"/>
      <c r="K203" s="38"/>
      <c r="L203" s="88"/>
    </row>
    <row r="204" spans="1:14">
      <c r="A204" s="1854"/>
      <c r="B204" s="1855"/>
      <c r="C204" s="73">
        <v>2016</v>
      </c>
      <c r="D204" s="37">
        <v>3</v>
      </c>
      <c r="E204" s="38">
        <v>32</v>
      </c>
      <c r="F204" s="38"/>
      <c r="G204" s="36"/>
      <c r="H204" s="308">
        <v>1</v>
      </c>
      <c r="I204" s="309"/>
      <c r="J204" s="310"/>
      <c r="K204" s="38"/>
      <c r="L204" s="88"/>
    </row>
    <row r="205" spans="1:14">
      <c r="A205" s="1854"/>
      <c r="B205" s="1855"/>
      <c r="C205" s="73">
        <v>2017</v>
      </c>
      <c r="D205" s="37"/>
      <c r="E205" s="38">
        <v>12</v>
      </c>
      <c r="F205" s="38"/>
      <c r="G205" s="36"/>
      <c r="H205" s="308">
        <v>1</v>
      </c>
      <c r="I205" s="309"/>
      <c r="J205" s="310"/>
      <c r="K205" s="38"/>
      <c r="L205" s="88"/>
    </row>
    <row r="206" spans="1:14">
      <c r="A206" s="1854"/>
      <c r="B206" s="1855"/>
      <c r="C206" s="73">
        <v>2018</v>
      </c>
      <c r="D206" s="37"/>
      <c r="E206" s="38"/>
      <c r="F206" s="38"/>
      <c r="G206" s="36"/>
      <c r="H206" s="308"/>
      <c r="I206" s="309"/>
      <c r="J206" s="310"/>
      <c r="K206" s="38"/>
      <c r="L206" s="88"/>
    </row>
    <row r="207" spans="1:14">
      <c r="A207" s="1854"/>
      <c r="B207" s="1855"/>
      <c r="C207" s="73">
        <v>2019</v>
      </c>
      <c r="D207" s="37"/>
      <c r="E207" s="38"/>
      <c r="F207" s="38"/>
      <c r="G207" s="36"/>
      <c r="H207" s="308"/>
      <c r="I207" s="309"/>
      <c r="J207" s="310"/>
      <c r="K207" s="38"/>
      <c r="L207" s="88"/>
    </row>
    <row r="208" spans="1:14">
      <c r="A208" s="1854"/>
      <c r="B208" s="1855"/>
      <c r="C208" s="73">
        <v>2020</v>
      </c>
      <c r="D208" s="1533"/>
      <c r="E208" s="312"/>
      <c r="F208" s="312"/>
      <c r="G208" s="313"/>
      <c r="H208" s="314"/>
      <c r="I208" s="315"/>
      <c r="J208" s="316"/>
      <c r="K208" s="312"/>
      <c r="L208" s="317"/>
    </row>
    <row r="209" spans="1:12" ht="20.25" customHeight="1" thickBot="1">
      <c r="A209" s="1856"/>
      <c r="B209" s="1857"/>
      <c r="C209" s="136" t="s">
        <v>13</v>
      </c>
      <c r="D209" s="139">
        <f>SUM(D202:D208)</f>
        <v>3</v>
      </c>
      <c r="E209" s="139">
        <f t="shared" ref="E209:L209" si="23">SUM(E202:E208)</f>
        <v>44</v>
      </c>
      <c r="F209" s="139">
        <f t="shared" si="23"/>
        <v>0</v>
      </c>
      <c r="G209" s="139">
        <f t="shared" si="23"/>
        <v>0</v>
      </c>
      <c r="H209" s="139">
        <f t="shared" si="23"/>
        <v>2</v>
      </c>
      <c r="I209" s="139">
        <f t="shared" si="23"/>
        <v>0</v>
      </c>
      <c r="J209" s="139">
        <f t="shared" si="23"/>
        <v>0</v>
      </c>
      <c r="K209" s="139">
        <f t="shared" si="23"/>
        <v>0</v>
      </c>
      <c r="L209" s="139">
        <f t="shared" si="23"/>
        <v>0</v>
      </c>
    </row>
    <row r="211" spans="1:12" ht="15.75" thickBot="1"/>
    <row r="212" spans="1:12" ht="29.25">
      <c r="A212" s="571" t="s">
        <v>161</v>
      </c>
      <c r="B212" s="322" t="s">
        <v>162</v>
      </c>
      <c r="C212" s="323">
        <v>2014</v>
      </c>
      <c r="D212" s="324">
        <v>2015</v>
      </c>
      <c r="E212" s="324">
        <v>2016</v>
      </c>
      <c r="F212" s="324">
        <v>2017</v>
      </c>
      <c r="G212" s="324">
        <v>2018</v>
      </c>
      <c r="H212" s="324">
        <v>2019</v>
      </c>
      <c r="I212" s="325">
        <v>2020</v>
      </c>
    </row>
    <row r="213" spans="1:12" ht="15" customHeight="1">
      <c r="A213" t="s">
        <v>163</v>
      </c>
      <c r="B213" s="1973" t="s">
        <v>481</v>
      </c>
      <c r="C213" s="72"/>
      <c r="D213" s="328">
        <f>D214+D215+D216+D217</f>
        <v>8917.1</v>
      </c>
      <c r="E213" s="328">
        <f>E214+E215+E216+E217</f>
        <v>244564.83</v>
      </c>
      <c r="F213" s="328">
        <f>F214+F215+F216+F217</f>
        <v>94983.86</v>
      </c>
      <c r="G213" s="135"/>
      <c r="H213" s="135"/>
      <c r="I213" s="326"/>
    </row>
    <row r="214" spans="1:12">
      <c r="A214" t="s">
        <v>164</v>
      </c>
      <c r="B214" s="1974"/>
      <c r="C214" s="72"/>
      <c r="D214" s="328">
        <v>0</v>
      </c>
      <c r="E214" s="328">
        <v>0</v>
      </c>
      <c r="F214" s="328">
        <v>0</v>
      </c>
      <c r="G214" s="135"/>
      <c r="H214" s="135"/>
      <c r="I214" s="326"/>
    </row>
    <row r="215" spans="1:12">
      <c r="A215" t="s">
        <v>165</v>
      </c>
      <c r="B215" s="1974"/>
      <c r="C215" s="72"/>
      <c r="D215" s="328">
        <v>0</v>
      </c>
      <c r="E215" s="328">
        <v>0</v>
      </c>
      <c r="F215" s="328">
        <v>0</v>
      </c>
      <c r="G215" s="135"/>
      <c r="H215" s="135"/>
      <c r="I215" s="326"/>
    </row>
    <row r="216" spans="1:12">
      <c r="A216" t="s">
        <v>166</v>
      </c>
      <c r="B216" s="1974"/>
      <c r="C216" s="72"/>
      <c r="D216" s="328">
        <v>0</v>
      </c>
      <c r="E216" s="328">
        <v>0</v>
      </c>
      <c r="F216" s="328">
        <v>6106.95</v>
      </c>
      <c r="G216" s="135"/>
      <c r="H216" s="135"/>
      <c r="I216" s="326"/>
    </row>
    <row r="217" spans="1:12">
      <c r="A217" t="s">
        <v>167</v>
      </c>
      <c r="B217" s="1974"/>
      <c r="C217" s="72"/>
      <c r="D217" s="328">
        <v>8917.1</v>
      </c>
      <c r="E217" s="328">
        <v>244564.83</v>
      </c>
      <c r="F217" s="328">
        <v>88876.91</v>
      </c>
      <c r="G217" s="135"/>
      <c r="H217" s="135"/>
      <c r="I217" s="326"/>
    </row>
    <row r="218" spans="1:12" ht="30">
      <c r="A218" s="56" t="s">
        <v>168</v>
      </c>
      <c r="B218" s="1974"/>
      <c r="C218" s="72"/>
      <c r="D218" s="606">
        <v>99998.89</v>
      </c>
      <c r="E218" s="606">
        <v>41109.379999999997</v>
      </c>
      <c r="F218" s="328">
        <v>83559.88</v>
      </c>
      <c r="G218" s="135"/>
      <c r="H218" s="135"/>
      <c r="I218" s="326"/>
    </row>
    <row r="219" spans="1:12" ht="186.75" customHeight="1" thickBot="1">
      <c r="A219" s="1532"/>
      <c r="B219" s="1975"/>
      <c r="C219" s="42" t="s">
        <v>13</v>
      </c>
      <c r="D219" s="332">
        <f>SUM(D214:D218)</f>
        <v>108915.99</v>
      </c>
      <c r="E219" s="332">
        <f t="shared" ref="E219:I219" si="24">SUM(E214:E218)</f>
        <v>285674.20999999996</v>
      </c>
      <c r="F219" s="332">
        <f t="shared" si="24"/>
        <v>178543.74</v>
      </c>
      <c r="G219" s="333">
        <f t="shared" si="24"/>
        <v>0</v>
      </c>
      <c r="H219" s="333">
        <f t="shared" si="24"/>
        <v>0</v>
      </c>
      <c r="I219" s="333">
        <f t="shared" si="24"/>
        <v>0</v>
      </c>
    </row>
    <row r="227" spans="1:1">
      <c r="A227" s="56"/>
    </row>
  </sheetData>
  <mergeCells count="62">
    <mergeCell ref="A50:B58"/>
    <mergeCell ref="B1:F1"/>
    <mergeCell ref="F3:O3"/>
    <mergeCell ref="A4:O10"/>
    <mergeCell ref="D15:G15"/>
    <mergeCell ref="A17:A24"/>
    <mergeCell ref="B17:B24"/>
    <mergeCell ref="D26:G26"/>
    <mergeCell ref="A28:A35"/>
    <mergeCell ref="B28:B35"/>
    <mergeCell ref="A40:A47"/>
    <mergeCell ref="B40:B47"/>
    <mergeCell ref="A60:A61"/>
    <mergeCell ref="C60:C61"/>
    <mergeCell ref="D60:D61"/>
    <mergeCell ref="A62:B69"/>
    <mergeCell ref="A72:A79"/>
    <mergeCell ref="B72:B79"/>
    <mergeCell ref="A118:A119"/>
    <mergeCell ref="B118:B119"/>
    <mergeCell ref="C118:C119"/>
    <mergeCell ref="D118:D119"/>
    <mergeCell ref="A85:B92"/>
    <mergeCell ref="A96:A97"/>
    <mergeCell ref="B96:B97"/>
    <mergeCell ref="C96:C97"/>
    <mergeCell ref="D96:E96"/>
    <mergeCell ref="A98:B105"/>
    <mergeCell ref="A107:A108"/>
    <mergeCell ref="B107:B108"/>
    <mergeCell ref="C107:C108"/>
    <mergeCell ref="D107:D108"/>
    <mergeCell ref="A109:B116"/>
    <mergeCell ref="A120:B127"/>
    <mergeCell ref="A129:A130"/>
    <mergeCell ref="B129:B130"/>
    <mergeCell ref="A131:B137"/>
    <mergeCell ref="A142:A143"/>
    <mergeCell ref="B142:B143"/>
    <mergeCell ref="I176:O176"/>
    <mergeCell ref="C142:C143"/>
    <mergeCell ref="J142:N142"/>
    <mergeCell ref="A144:B151"/>
    <mergeCell ref="A153:A154"/>
    <mergeCell ref="B153:B154"/>
    <mergeCell ref="C153:C154"/>
    <mergeCell ref="A155:B162"/>
    <mergeCell ref="A165:B172"/>
    <mergeCell ref="A176:A177"/>
    <mergeCell ref="B176:B177"/>
    <mergeCell ref="C176:C177"/>
    <mergeCell ref="A178:A185"/>
    <mergeCell ref="B178:B185"/>
    <mergeCell ref="A187:A188"/>
    <mergeCell ref="B187:B188"/>
    <mergeCell ref="C187:C188"/>
    <mergeCell ref="H187:L187"/>
    <mergeCell ref="A189:A196"/>
    <mergeCell ref="B189:B196"/>
    <mergeCell ref="A202:B209"/>
    <mergeCell ref="B213:B219"/>
    <mergeCell ref="D187:G18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7"/>
  <sheetViews>
    <sheetView topLeftCell="A13" workbookViewId="0">
      <selection activeCell="D231" sqref="D231"/>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482</v>
      </c>
      <c r="C1" s="1944"/>
      <c r="D1" s="1944"/>
      <c r="E1" s="1944"/>
      <c r="F1" s="1944"/>
    </row>
    <row r="2" spans="1:25" s="1" customFormat="1" ht="20.100000000000001" customHeight="1" thickBot="1"/>
    <row r="3" spans="1:25" s="4" customFormat="1" ht="20.100000000000001" customHeight="1">
      <c r="A3" s="1536" t="s">
        <v>2</v>
      </c>
      <c r="B3" s="1585"/>
      <c r="C3" s="1585"/>
      <c r="D3" s="1585"/>
      <c r="E3" s="1585"/>
      <c r="F3" s="2418"/>
      <c r="G3" s="2418"/>
      <c r="H3" s="2418"/>
      <c r="I3" s="2418"/>
      <c r="J3" s="2418"/>
      <c r="K3" s="2418"/>
      <c r="L3" s="2418"/>
      <c r="M3" s="2418"/>
      <c r="N3" s="2418"/>
      <c r="O3" s="2522"/>
    </row>
    <row r="4" spans="1:25" s="4" customFormat="1" ht="20.100000000000001" customHeight="1">
      <c r="A4" s="2420" t="s">
        <v>170</v>
      </c>
      <c r="B4" s="1948"/>
      <c r="C4" s="1948"/>
      <c r="D4" s="1948"/>
      <c r="E4" s="1948"/>
      <c r="F4" s="1948"/>
      <c r="G4" s="1948"/>
      <c r="H4" s="1948"/>
      <c r="I4" s="1948"/>
      <c r="J4" s="1948"/>
      <c r="K4" s="1948"/>
      <c r="L4" s="1948"/>
      <c r="M4" s="1948"/>
      <c r="N4" s="1948"/>
      <c r="O4" s="1949"/>
    </row>
    <row r="5" spans="1:25" s="4" customFormat="1" ht="20.100000000000001" customHeight="1">
      <c r="A5" s="2420"/>
      <c r="B5" s="1948"/>
      <c r="C5" s="1948"/>
      <c r="D5" s="1948"/>
      <c r="E5" s="1948"/>
      <c r="F5" s="1948"/>
      <c r="G5" s="1948"/>
      <c r="H5" s="1948"/>
      <c r="I5" s="1948"/>
      <c r="J5" s="1948"/>
      <c r="K5" s="1948"/>
      <c r="L5" s="1948"/>
      <c r="M5" s="1948"/>
      <c r="N5" s="1948"/>
      <c r="O5" s="1949"/>
    </row>
    <row r="6" spans="1:25" s="4" customFormat="1" ht="20.100000000000001" customHeight="1">
      <c r="A6" s="2420"/>
      <c r="B6" s="1948"/>
      <c r="C6" s="1948"/>
      <c r="D6" s="1948"/>
      <c r="E6" s="1948"/>
      <c r="F6" s="1948"/>
      <c r="G6" s="1948"/>
      <c r="H6" s="1948"/>
      <c r="I6" s="1948"/>
      <c r="J6" s="1948"/>
      <c r="K6" s="1948"/>
      <c r="L6" s="1948"/>
      <c r="M6" s="1948"/>
      <c r="N6" s="1948"/>
      <c r="O6" s="1949"/>
    </row>
    <row r="7" spans="1:25" s="4" customFormat="1" ht="20.100000000000001" customHeight="1">
      <c r="A7" s="2420"/>
      <c r="B7" s="1948"/>
      <c r="C7" s="1948"/>
      <c r="D7" s="1948"/>
      <c r="E7" s="1948"/>
      <c r="F7" s="1948"/>
      <c r="G7" s="1948"/>
      <c r="H7" s="1948"/>
      <c r="I7" s="1948"/>
      <c r="J7" s="1948"/>
      <c r="K7" s="1948"/>
      <c r="L7" s="1948"/>
      <c r="M7" s="1948"/>
      <c r="N7" s="1948"/>
      <c r="O7" s="1949"/>
    </row>
    <row r="8" spans="1:25" s="4" customFormat="1" ht="20.100000000000001" customHeight="1">
      <c r="A8" s="2420"/>
      <c r="B8" s="1948"/>
      <c r="C8" s="1948"/>
      <c r="D8" s="1948"/>
      <c r="E8" s="1948"/>
      <c r="F8" s="1948"/>
      <c r="G8" s="1948"/>
      <c r="H8" s="1948"/>
      <c r="I8" s="1948"/>
      <c r="J8" s="1948"/>
      <c r="K8" s="1948"/>
      <c r="L8" s="1948"/>
      <c r="M8" s="1948"/>
      <c r="N8" s="1948"/>
      <c r="O8" s="1949"/>
    </row>
    <row r="9" spans="1:25" s="4" customFormat="1" ht="20.100000000000001" customHeight="1">
      <c r="A9" s="2420"/>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515"/>
      <c r="B15" s="516"/>
      <c r="C15" s="10"/>
      <c r="D15" s="1953" t="s">
        <v>5</v>
      </c>
      <c r="E15" s="2012"/>
      <c r="F15" s="2012"/>
      <c r="G15" s="2012"/>
      <c r="H15" s="11"/>
      <c r="I15" s="12" t="s">
        <v>6</v>
      </c>
      <c r="J15" s="13"/>
      <c r="K15" s="13"/>
      <c r="L15" s="13"/>
      <c r="M15" s="13"/>
      <c r="N15" s="13"/>
      <c r="O15" s="14"/>
      <c r="P15" s="15"/>
      <c r="Q15" s="16"/>
      <c r="R15" s="17"/>
      <c r="S15" s="17"/>
      <c r="T15" s="17"/>
      <c r="U15" s="17"/>
      <c r="V15" s="17"/>
      <c r="W15" s="15"/>
      <c r="X15" s="15"/>
      <c r="Y15" s="16"/>
    </row>
    <row r="16" spans="1:25" s="56" customFormat="1" ht="139.9" customHeight="1">
      <c r="A16" s="1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1874" t="s">
        <v>483</v>
      </c>
      <c r="B17" s="1855"/>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1854"/>
      <c r="B18" s="1855"/>
      <c r="C18" s="36">
        <v>2015</v>
      </c>
      <c r="D18" s="37">
        <v>4</v>
      </c>
      <c r="E18" s="38"/>
      <c r="F18" s="38"/>
      <c r="G18" s="32">
        <f>SUM(D18:F18)</f>
        <v>4</v>
      </c>
      <c r="H18" s="39">
        <v>4</v>
      </c>
      <c r="I18" s="38"/>
      <c r="J18" s="38"/>
      <c r="K18" s="38"/>
      <c r="L18" s="38"/>
      <c r="M18" s="38"/>
      <c r="N18" s="38"/>
      <c r="O18" s="40"/>
      <c r="P18" s="35"/>
      <c r="Q18" s="35"/>
      <c r="R18" s="35"/>
      <c r="S18" s="35"/>
      <c r="T18" s="35"/>
      <c r="U18" s="35"/>
      <c r="V18" s="35"/>
      <c r="W18" s="35"/>
      <c r="X18" s="35"/>
      <c r="Y18" s="35"/>
    </row>
    <row r="19" spans="1:25">
      <c r="A19" s="1854"/>
      <c r="B19" s="1855"/>
      <c r="C19" s="36">
        <v>2016</v>
      </c>
      <c r="D19" s="37">
        <v>6</v>
      </c>
      <c r="E19" s="38"/>
      <c r="F19" s="38"/>
      <c r="G19" s="32">
        <f t="shared" si="0"/>
        <v>6</v>
      </c>
      <c r="H19" s="39">
        <v>2</v>
      </c>
      <c r="I19" s="38"/>
      <c r="J19" s="38"/>
      <c r="K19" s="38"/>
      <c r="L19" s="38"/>
      <c r="M19" s="38"/>
      <c r="N19" s="38"/>
      <c r="O19" s="40">
        <v>4</v>
      </c>
      <c r="P19" s="35"/>
      <c r="Q19" s="35"/>
      <c r="R19" s="35"/>
      <c r="S19" s="35"/>
      <c r="T19" s="35"/>
      <c r="U19" s="35"/>
      <c r="V19" s="35"/>
      <c r="W19" s="35"/>
      <c r="X19" s="35"/>
      <c r="Y19" s="35"/>
    </row>
    <row r="20" spans="1:25">
      <c r="A20" s="1854"/>
      <c r="B20" s="1855"/>
      <c r="C20" s="36">
        <v>2017</v>
      </c>
      <c r="D20" s="37">
        <v>3</v>
      </c>
      <c r="E20" s="38"/>
      <c r="F20" s="38"/>
      <c r="G20" s="32">
        <f t="shared" si="0"/>
        <v>3</v>
      </c>
      <c r="H20" s="39">
        <v>3</v>
      </c>
      <c r="I20" s="38"/>
      <c r="J20" s="38"/>
      <c r="K20" s="38"/>
      <c r="L20" s="38"/>
      <c r="M20" s="38"/>
      <c r="N20" s="38"/>
      <c r="O20" s="40"/>
      <c r="P20" s="35"/>
      <c r="Q20" s="35"/>
      <c r="R20" s="35"/>
      <c r="S20" s="35"/>
      <c r="T20" s="35"/>
      <c r="U20" s="35"/>
      <c r="V20" s="35"/>
      <c r="W20" s="35"/>
      <c r="X20" s="35"/>
      <c r="Y20" s="35"/>
    </row>
    <row r="21" spans="1:25">
      <c r="A21" s="1854"/>
      <c r="B21" s="1855"/>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1854"/>
      <c r="B22" s="1855"/>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1854"/>
      <c r="B23" s="1855"/>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63" customHeight="1" thickBot="1">
      <c r="A24" s="1856"/>
      <c r="B24" s="1857"/>
      <c r="C24" s="42" t="s">
        <v>13</v>
      </c>
      <c r="D24" s="43">
        <f>SUM(D17:D23)</f>
        <v>13</v>
      </c>
      <c r="E24" s="44">
        <f>SUM(E17:E23)</f>
        <v>0</v>
      </c>
      <c r="F24" s="44">
        <f>SUM(F17:F23)</f>
        <v>0</v>
      </c>
      <c r="G24" s="45">
        <f>SUM(D24:F24)</f>
        <v>13</v>
      </c>
      <c r="H24" s="46">
        <f>SUM(H17:H23)</f>
        <v>9</v>
      </c>
      <c r="I24" s="47">
        <f>SUM(I17:I23)</f>
        <v>0</v>
      </c>
      <c r="J24" s="47">
        <f t="shared" ref="J24:N24" si="1">SUM(J17:J23)</f>
        <v>0</v>
      </c>
      <c r="K24" s="47">
        <f t="shared" si="1"/>
        <v>0</v>
      </c>
      <c r="L24" s="47">
        <f t="shared" si="1"/>
        <v>0</v>
      </c>
      <c r="M24" s="47">
        <f t="shared" si="1"/>
        <v>0</v>
      </c>
      <c r="N24" s="47">
        <f t="shared" si="1"/>
        <v>0</v>
      </c>
      <c r="O24" s="48">
        <f>SUM(O17:O23)</f>
        <v>4</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515"/>
      <c r="B26" s="516"/>
      <c r="C26" s="50"/>
      <c r="D26" s="1959" t="s">
        <v>5</v>
      </c>
      <c r="E26" s="2071"/>
      <c r="F26" s="2071"/>
      <c r="G26" s="2072"/>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1874" t="s">
        <v>484</v>
      </c>
      <c r="B28" s="1855"/>
      <c r="C28" s="57">
        <v>2014</v>
      </c>
      <c r="D28" s="33"/>
      <c r="E28" s="31"/>
      <c r="F28" s="31"/>
      <c r="G28" s="58">
        <f>SUM(D28:F28)</f>
        <v>0</v>
      </c>
      <c r="H28" s="35"/>
      <c r="I28" s="35"/>
      <c r="J28" s="35"/>
      <c r="K28" s="35"/>
      <c r="L28" s="35"/>
      <c r="M28" s="35"/>
      <c r="N28" s="35"/>
      <c r="O28" s="35"/>
      <c r="P28" s="35"/>
      <c r="Q28" s="7"/>
    </row>
    <row r="29" spans="1:25">
      <c r="A29" s="1854"/>
      <c r="B29" s="1855"/>
      <c r="C29" s="59">
        <v>2015</v>
      </c>
      <c r="D29" s="39">
        <v>80</v>
      </c>
      <c r="E29" s="38"/>
      <c r="F29" s="38"/>
      <c r="G29" s="58"/>
      <c r="H29" s="35"/>
      <c r="I29" s="35"/>
      <c r="J29" s="35"/>
      <c r="K29" s="35"/>
      <c r="L29" s="35"/>
      <c r="M29" s="35"/>
      <c r="N29" s="35"/>
      <c r="O29" s="35"/>
      <c r="P29" s="35"/>
      <c r="Q29" s="7"/>
    </row>
    <row r="30" spans="1:25">
      <c r="A30" s="1854"/>
      <c r="B30" s="1855"/>
      <c r="C30" s="59">
        <v>2016</v>
      </c>
      <c r="D30" s="39">
        <v>728</v>
      </c>
      <c r="E30" s="38"/>
      <c r="F30" s="38"/>
      <c r="G30" s="58">
        <f t="shared" ref="G30:G35" si="2">SUM(D30:F30)</f>
        <v>728</v>
      </c>
      <c r="H30" s="35"/>
      <c r="I30" s="35"/>
      <c r="J30" s="35"/>
      <c r="K30" s="35"/>
      <c r="L30" s="35"/>
      <c r="M30" s="35"/>
      <c r="N30" s="35"/>
      <c r="O30" s="35"/>
      <c r="P30" s="35"/>
      <c r="Q30" s="7"/>
    </row>
    <row r="31" spans="1:25">
      <c r="A31" s="1854"/>
      <c r="B31" s="1855"/>
      <c r="C31" s="59">
        <v>2017</v>
      </c>
      <c r="D31" s="39">
        <v>60</v>
      </c>
      <c r="E31" s="38"/>
      <c r="F31" s="38"/>
      <c r="G31" s="58">
        <f t="shared" si="2"/>
        <v>60</v>
      </c>
      <c r="H31" s="35"/>
      <c r="I31" s="35"/>
      <c r="J31" s="35"/>
      <c r="K31" s="35"/>
      <c r="L31" s="35"/>
      <c r="M31" s="35"/>
      <c r="N31" s="35"/>
      <c r="O31" s="35"/>
      <c r="P31" s="35"/>
      <c r="Q31" s="7"/>
    </row>
    <row r="32" spans="1:25">
      <c r="A32" s="1854"/>
      <c r="B32" s="1855"/>
      <c r="C32" s="59">
        <v>2018</v>
      </c>
      <c r="D32" s="39"/>
      <c r="E32" s="38"/>
      <c r="F32" s="38"/>
      <c r="G32" s="58">
        <f>SUM(D32:F32)</f>
        <v>0</v>
      </c>
      <c r="H32" s="35"/>
      <c r="I32" s="35"/>
      <c r="J32" s="35"/>
      <c r="K32" s="35"/>
      <c r="L32" s="35"/>
      <c r="M32" s="35"/>
      <c r="N32" s="35"/>
      <c r="O32" s="35"/>
      <c r="P32" s="35"/>
      <c r="Q32" s="7"/>
    </row>
    <row r="33" spans="1:17">
      <c r="A33" s="1854"/>
      <c r="B33" s="1855"/>
      <c r="C33" s="60">
        <v>2019</v>
      </c>
      <c r="D33" s="39"/>
      <c r="E33" s="38"/>
      <c r="F33" s="38"/>
      <c r="G33" s="58">
        <f t="shared" si="2"/>
        <v>0</v>
      </c>
      <c r="H33" s="35"/>
      <c r="I33" s="35"/>
      <c r="J33" s="35"/>
      <c r="K33" s="35"/>
      <c r="L33" s="35"/>
      <c r="M33" s="35"/>
      <c r="N33" s="35"/>
      <c r="O33" s="35"/>
      <c r="P33" s="35"/>
      <c r="Q33" s="7"/>
    </row>
    <row r="34" spans="1:17">
      <c r="A34" s="1854"/>
      <c r="B34" s="1855"/>
      <c r="C34" s="59">
        <v>2020</v>
      </c>
      <c r="D34" s="39"/>
      <c r="E34" s="38"/>
      <c r="F34" s="38"/>
      <c r="G34" s="58">
        <f t="shared" si="2"/>
        <v>0</v>
      </c>
      <c r="H34" s="35"/>
      <c r="I34" s="35"/>
      <c r="J34" s="35"/>
      <c r="K34" s="35"/>
      <c r="L34" s="35"/>
      <c r="M34" s="35"/>
      <c r="N34" s="35"/>
      <c r="O34" s="35"/>
      <c r="P34" s="35"/>
      <c r="Q34" s="7"/>
    </row>
    <row r="35" spans="1:17" ht="20.25" customHeight="1" thickBot="1">
      <c r="A35" s="1856"/>
      <c r="B35" s="1857"/>
      <c r="C35" s="61" t="s">
        <v>13</v>
      </c>
      <c r="D35" s="46">
        <f>SUM(D28:D34)</f>
        <v>868</v>
      </c>
      <c r="E35" s="44">
        <f>SUM(E28:E34)</f>
        <v>0</v>
      </c>
      <c r="F35" s="44">
        <f>SUM(F28:F34)</f>
        <v>0</v>
      </c>
      <c r="G35" s="48">
        <f t="shared" si="2"/>
        <v>868</v>
      </c>
      <c r="H35" s="35"/>
      <c r="I35" s="35"/>
      <c r="J35" s="35"/>
      <c r="K35" s="35"/>
      <c r="L35" s="35"/>
      <c r="M35" s="35"/>
      <c r="N35" s="35"/>
      <c r="O35" s="35"/>
      <c r="P35" s="35"/>
      <c r="Q35" s="7"/>
    </row>
    <row r="36" spans="1:17">
      <c r="A36" s="1535"/>
      <c r="B36" s="1535"/>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535" t="s">
        <v>26</v>
      </c>
      <c r="B39" s="536" t="s">
        <v>171</v>
      </c>
      <c r="C39" s="68" t="s">
        <v>9</v>
      </c>
      <c r="D39" s="69" t="s">
        <v>28</v>
      </c>
      <c r="E39" s="70" t="s">
        <v>29</v>
      </c>
      <c r="F39" s="71"/>
      <c r="G39" s="28"/>
      <c r="H39" s="28"/>
    </row>
    <row r="40" spans="1:17">
      <c r="A40" s="1874" t="s">
        <v>485</v>
      </c>
      <c r="B40" s="1855"/>
      <c r="C40" s="72">
        <v>2014</v>
      </c>
      <c r="D40" s="30"/>
      <c r="E40" s="29"/>
      <c r="F40" s="7"/>
      <c r="G40" s="35"/>
      <c r="H40" s="35"/>
    </row>
    <row r="41" spans="1:17">
      <c r="A41" s="1854"/>
      <c r="B41" s="1855"/>
      <c r="C41" s="73">
        <v>2015</v>
      </c>
      <c r="D41" s="74"/>
      <c r="E41" s="36"/>
      <c r="F41" s="7"/>
      <c r="G41" s="35"/>
      <c r="H41" s="35"/>
    </row>
    <row r="42" spans="1:17">
      <c r="A42" s="1854"/>
      <c r="B42" s="1855"/>
      <c r="C42" s="73">
        <v>2016</v>
      </c>
      <c r="D42" s="74">
        <v>358614</v>
      </c>
      <c r="E42" s="36"/>
      <c r="F42" s="7"/>
      <c r="G42" s="35"/>
      <c r="H42" s="35"/>
    </row>
    <row r="43" spans="1:17">
      <c r="A43" s="1854"/>
      <c r="B43" s="1855"/>
      <c r="C43" s="73">
        <v>2017</v>
      </c>
      <c r="D43" s="74">
        <v>36821</v>
      </c>
      <c r="E43" s="36"/>
      <c r="F43" s="7"/>
      <c r="G43" s="35"/>
      <c r="H43" s="35"/>
    </row>
    <row r="44" spans="1:17">
      <c r="A44" s="1854"/>
      <c r="B44" s="1855"/>
      <c r="C44" s="73">
        <v>2018</v>
      </c>
      <c r="D44" s="37"/>
      <c r="E44" s="36"/>
      <c r="F44" s="7"/>
      <c r="G44" s="35"/>
      <c r="H44" s="35"/>
    </row>
    <row r="45" spans="1:17">
      <c r="A45" s="1854"/>
      <c r="B45" s="1855"/>
      <c r="C45" s="73">
        <v>2019</v>
      </c>
      <c r="D45" s="37"/>
      <c r="E45" s="36"/>
      <c r="F45" s="7"/>
      <c r="G45" s="35"/>
      <c r="H45" s="35"/>
    </row>
    <row r="46" spans="1:17">
      <c r="A46" s="1854"/>
      <c r="B46" s="1855"/>
      <c r="C46" s="73">
        <v>2020</v>
      </c>
      <c r="D46" s="37"/>
      <c r="E46" s="36"/>
      <c r="F46" s="7"/>
      <c r="G46" s="35"/>
      <c r="H46" s="35"/>
    </row>
    <row r="47" spans="1:17" ht="15.75" thickBot="1">
      <c r="A47" s="1856"/>
      <c r="B47" s="1857"/>
      <c r="C47" s="42" t="s">
        <v>13</v>
      </c>
      <c r="D47" s="43">
        <f>SUM(D40:D46)</f>
        <v>395435</v>
      </c>
      <c r="E47" s="455">
        <f>SUM(E40:E46)</f>
        <v>0</v>
      </c>
      <c r="F47" s="78"/>
      <c r="G47" s="35"/>
      <c r="H47" s="35"/>
    </row>
    <row r="48" spans="1:17" s="35" customFormat="1" ht="15.75" thickBot="1">
      <c r="A48" s="539"/>
      <c r="B48" s="80"/>
      <c r="C48" s="81"/>
    </row>
    <row r="49" spans="1:15" ht="83.25" customHeight="1">
      <c r="A49" s="82" t="s">
        <v>32</v>
      </c>
      <c r="B49" s="536" t="s">
        <v>171</v>
      </c>
      <c r="C49" s="84" t="s">
        <v>9</v>
      </c>
      <c r="D49" s="69" t="s">
        <v>34</v>
      </c>
      <c r="E49" s="85" t="s">
        <v>35</v>
      </c>
      <c r="F49" s="85" t="s">
        <v>36</v>
      </c>
      <c r="G49" s="85" t="s">
        <v>37</v>
      </c>
      <c r="H49" s="85" t="s">
        <v>38</v>
      </c>
      <c r="I49" s="85" t="s">
        <v>39</v>
      </c>
      <c r="J49" s="85" t="s">
        <v>40</v>
      </c>
      <c r="K49" s="86" t="s">
        <v>41</v>
      </c>
    </row>
    <row r="50" spans="1:15" ht="17.25" customHeight="1">
      <c r="A50" s="1872"/>
      <c r="B50" s="1879"/>
      <c r="C50" s="87" t="s">
        <v>43</v>
      </c>
      <c r="D50" s="30"/>
      <c r="E50" s="31"/>
      <c r="F50" s="31"/>
      <c r="G50" s="31"/>
      <c r="H50" s="31"/>
      <c r="I50" s="31"/>
      <c r="J50" s="31"/>
      <c r="K50" s="34"/>
    </row>
    <row r="51" spans="1:15" ht="15" customHeight="1">
      <c r="A51" s="1874"/>
      <c r="B51" s="1881"/>
      <c r="C51" s="73">
        <v>2014</v>
      </c>
      <c r="D51" s="37"/>
      <c r="E51" s="38"/>
      <c r="F51" s="38"/>
      <c r="G51" s="38"/>
      <c r="H51" s="38"/>
      <c r="I51" s="38"/>
      <c r="J51" s="38"/>
      <c r="K51" s="88"/>
    </row>
    <row r="52" spans="1:15">
      <c r="A52" s="1874"/>
      <c r="B52" s="1881"/>
      <c r="C52" s="73">
        <v>2015</v>
      </c>
      <c r="D52" s="37"/>
      <c r="E52" s="38"/>
      <c r="F52" s="38"/>
      <c r="G52" s="38"/>
      <c r="H52" s="38"/>
      <c r="I52" s="38"/>
      <c r="J52" s="38"/>
      <c r="K52" s="88"/>
    </row>
    <row r="53" spans="1:15">
      <c r="A53" s="1874"/>
      <c r="B53" s="1881"/>
      <c r="C53" s="73">
        <v>2016</v>
      </c>
      <c r="D53" s="37"/>
      <c r="E53" s="38"/>
      <c r="F53" s="38"/>
      <c r="G53" s="38"/>
      <c r="H53" s="38"/>
      <c r="I53" s="38"/>
      <c r="J53" s="38"/>
      <c r="K53" s="88"/>
    </row>
    <row r="54" spans="1:15">
      <c r="A54" s="1874"/>
      <c r="B54" s="1881"/>
      <c r="C54" s="73">
        <v>2017</v>
      </c>
      <c r="D54" s="37"/>
      <c r="E54" s="38"/>
      <c r="F54" s="38"/>
      <c r="G54" s="38"/>
      <c r="H54" s="38"/>
      <c r="I54" s="38"/>
      <c r="J54" s="38"/>
      <c r="K54" s="88"/>
    </row>
    <row r="55" spans="1:15">
      <c r="A55" s="1874"/>
      <c r="B55" s="1881"/>
      <c r="C55" s="73">
        <v>2018</v>
      </c>
      <c r="D55" s="37"/>
      <c r="E55" s="38"/>
      <c r="F55" s="38"/>
      <c r="G55" s="38"/>
      <c r="H55" s="38"/>
      <c r="I55" s="38"/>
      <c r="J55" s="38"/>
      <c r="K55" s="88"/>
    </row>
    <row r="56" spans="1:15">
      <c r="A56" s="1874"/>
      <c r="B56" s="1881"/>
      <c r="C56" s="73">
        <v>2019</v>
      </c>
      <c r="D56" s="37"/>
      <c r="E56" s="38"/>
      <c r="F56" s="38"/>
      <c r="G56" s="38"/>
      <c r="H56" s="38"/>
      <c r="I56" s="38"/>
      <c r="J56" s="38"/>
      <c r="K56" s="88"/>
    </row>
    <row r="57" spans="1:15">
      <c r="A57" s="1874"/>
      <c r="B57" s="1881"/>
      <c r="C57" s="73">
        <v>2020</v>
      </c>
      <c r="D57" s="37"/>
      <c r="E57" s="38"/>
      <c r="F57" s="38"/>
      <c r="G57" s="38"/>
      <c r="H57" s="38"/>
      <c r="I57" s="38"/>
      <c r="J57" s="38"/>
      <c r="K57" s="93"/>
    </row>
    <row r="58" spans="1:15" ht="20.25" customHeight="1" thickBot="1">
      <c r="A58" s="1876"/>
      <c r="B58" s="1883"/>
      <c r="C58" s="42" t="s">
        <v>13</v>
      </c>
      <c r="D58" s="43">
        <f>SUM(D51:D57)</f>
        <v>0</v>
      </c>
      <c r="E58" s="44">
        <f>SUM(E51:E57)</f>
        <v>0</v>
      </c>
      <c r="F58" s="44">
        <f>SUM(F51:F57)</f>
        <v>0</v>
      </c>
      <c r="G58" s="44">
        <f>SUM(G51:G57)</f>
        <v>0</v>
      </c>
      <c r="H58" s="44">
        <f>SUM(H51:H57)</f>
        <v>0</v>
      </c>
      <c r="I58" s="44">
        <f t="shared" ref="I58" si="3">SUM(I51:I57)</f>
        <v>0</v>
      </c>
      <c r="J58" s="44">
        <f>SUM(J51:J57)</f>
        <v>0</v>
      </c>
      <c r="K58" s="48">
        <f>SUM(K50:K56)</f>
        <v>0</v>
      </c>
    </row>
    <row r="59" spans="1:15" ht="15.75" thickBot="1"/>
    <row r="60" spans="1:15" ht="21" customHeight="1">
      <c r="A60" s="2073" t="s">
        <v>44</v>
      </c>
      <c r="B60" s="540"/>
      <c r="C60" s="2074" t="s">
        <v>9</v>
      </c>
      <c r="D60" s="2417" t="s">
        <v>45</v>
      </c>
      <c r="E60" s="96" t="s">
        <v>6</v>
      </c>
      <c r="F60" s="541"/>
      <c r="G60" s="541"/>
      <c r="H60" s="541"/>
      <c r="I60" s="541"/>
      <c r="J60" s="541"/>
      <c r="K60" s="541"/>
      <c r="L60" s="542"/>
    </row>
    <row r="61" spans="1:15" ht="127.15" customHeight="1">
      <c r="A61" s="1970"/>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1898" t="s">
        <v>486</v>
      </c>
      <c r="B62" s="1899"/>
      <c r="C62" s="106">
        <v>2014</v>
      </c>
      <c r="D62" s="107"/>
      <c r="E62" s="108"/>
      <c r="F62" s="109"/>
      <c r="G62" s="109"/>
      <c r="H62" s="109"/>
      <c r="I62" s="109"/>
      <c r="J62" s="109"/>
      <c r="K62" s="109"/>
      <c r="L62" s="34"/>
      <c r="M62" s="7"/>
      <c r="N62" s="7"/>
      <c r="O62" s="7"/>
    </row>
    <row r="63" spans="1:15">
      <c r="A63" s="1891"/>
      <c r="B63" s="1899"/>
      <c r="C63" s="110">
        <v>2015</v>
      </c>
      <c r="D63" s="111"/>
      <c r="E63" s="112"/>
      <c r="F63" s="38"/>
      <c r="G63" s="38"/>
      <c r="H63" s="38"/>
      <c r="I63" s="38"/>
      <c r="J63" s="38"/>
      <c r="K63" s="38"/>
      <c r="L63" s="88"/>
      <c r="M63" s="7"/>
      <c r="N63" s="7"/>
      <c r="O63" s="7"/>
    </row>
    <row r="64" spans="1:15">
      <c r="A64" s="1891"/>
      <c r="B64" s="1899"/>
      <c r="C64" s="110">
        <v>2016</v>
      </c>
      <c r="D64" s="111">
        <v>2</v>
      </c>
      <c r="E64" s="112"/>
      <c r="F64" s="38"/>
      <c r="G64" s="38"/>
      <c r="H64" s="38"/>
      <c r="I64" s="38"/>
      <c r="J64" s="38"/>
      <c r="K64" s="38"/>
      <c r="L64" s="88">
        <v>2</v>
      </c>
      <c r="M64" s="7"/>
      <c r="N64" s="7"/>
      <c r="O64" s="7"/>
    </row>
    <row r="65" spans="1:20">
      <c r="A65" s="1891"/>
      <c r="B65" s="1899"/>
      <c r="C65" s="110">
        <v>2017</v>
      </c>
      <c r="D65" s="111">
        <v>1</v>
      </c>
      <c r="E65" s="112">
        <v>1</v>
      </c>
      <c r="F65" s="38"/>
      <c r="G65" s="38"/>
      <c r="H65" s="38"/>
      <c r="I65" s="38"/>
      <c r="J65" s="38"/>
      <c r="K65" s="38"/>
      <c r="L65" s="88"/>
      <c r="M65" s="7"/>
      <c r="N65" s="7"/>
      <c r="O65" s="7"/>
    </row>
    <row r="66" spans="1:20">
      <c r="A66" s="1891"/>
      <c r="B66" s="1899"/>
      <c r="C66" s="110">
        <v>2018</v>
      </c>
      <c r="D66" s="111"/>
      <c r="E66" s="112"/>
      <c r="F66" s="38"/>
      <c r="G66" s="38"/>
      <c r="H66" s="38"/>
      <c r="I66" s="38"/>
      <c r="J66" s="38"/>
      <c r="K66" s="38"/>
      <c r="L66" s="88"/>
      <c r="M66" s="7"/>
      <c r="N66" s="7"/>
      <c r="O66" s="7"/>
    </row>
    <row r="67" spans="1:20" ht="17.25" customHeight="1">
      <c r="A67" s="1891"/>
      <c r="B67" s="1899"/>
      <c r="C67" s="110">
        <v>2019</v>
      </c>
      <c r="D67" s="111"/>
      <c r="E67" s="112"/>
      <c r="F67" s="38"/>
      <c r="G67" s="38"/>
      <c r="H67" s="38"/>
      <c r="I67" s="38"/>
      <c r="J67" s="38"/>
      <c r="K67" s="38"/>
      <c r="L67" s="88"/>
      <c r="M67" s="7"/>
      <c r="N67" s="7"/>
      <c r="O67" s="7"/>
    </row>
    <row r="68" spans="1:20" ht="16.5" customHeight="1">
      <c r="A68" s="1891"/>
      <c r="B68" s="1899"/>
      <c r="C68" s="110">
        <v>2020</v>
      </c>
      <c r="D68" s="111"/>
      <c r="E68" s="112"/>
      <c r="F68" s="38"/>
      <c r="G68" s="38"/>
      <c r="H68" s="38"/>
      <c r="I68" s="38"/>
      <c r="J68" s="38"/>
      <c r="K68" s="38"/>
      <c r="L68" s="88"/>
      <c r="M68" s="78"/>
      <c r="N68" s="78"/>
      <c r="O68" s="78"/>
    </row>
    <row r="69" spans="1:20" ht="18" customHeight="1" thickBot="1">
      <c r="A69" s="1980"/>
      <c r="B69" s="1900"/>
      <c r="C69" s="113" t="s">
        <v>13</v>
      </c>
      <c r="D69" s="114">
        <f>SUM(D62:D68)</f>
        <v>3</v>
      </c>
      <c r="E69" s="115">
        <f>SUM(E62:E68)</f>
        <v>1</v>
      </c>
      <c r="F69" s="116">
        <f t="shared" ref="F69:I69" si="4">SUM(F62:F68)</f>
        <v>0</v>
      </c>
      <c r="G69" s="116">
        <f t="shared" si="4"/>
        <v>0</v>
      </c>
      <c r="H69" s="116">
        <f t="shared" si="4"/>
        <v>0</v>
      </c>
      <c r="I69" s="116">
        <f t="shared" si="4"/>
        <v>0</v>
      </c>
      <c r="J69" s="116"/>
      <c r="K69" s="116">
        <f>SUM(K62:K68)</f>
        <v>0</v>
      </c>
      <c r="L69" s="117">
        <f>SUM(L62:L68)</f>
        <v>2</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7.44999999999999" customHeight="1">
      <c r="A71" s="535" t="s">
        <v>47</v>
      </c>
      <c r="B71" s="536"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1874" t="s">
        <v>487</v>
      </c>
      <c r="B72" s="1899"/>
      <c r="C72" s="72">
        <v>2014</v>
      </c>
      <c r="D72" s="131"/>
      <c r="E72" s="131"/>
      <c r="F72" s="131"/>
      <c r="G72" s="132">
        <f>SUM(D72:F72)</f>
        <v>0</v>
      </c>
      <c r="H72" s="30"/>
      <c r="I72" s="133"/>
      <c r="J72" s="109"/>
      <c r="K72" s="109"/>
      <c r="L72" s="109"/>
      <c r="M72" s="109"/>
      <c r="N72" s="109"/>
      <c r="O72" s="134"/>
    </row>
    <row r="73" spans="1:20">
      <c r="A73" s="1854"/>
      <c r="B73" s="1899"/>
      <c r="C73" s="73">
        <v>2015</v>
      </c>
      <c r="D73" s="135"/>
      <c r="E73" s="135"/>
      <c r="F73" s="135"/>
      <c r="G73" s="132">
        <f t="shared" ref="G73:G78" si="5">SUM(D73:F73)</f>
        <v>0</v>
      </c>
      <c r="H73" s="37"/>
      <c r="I73" s="37"/>
      <c r="J73" s="38"/>
      <c r="K73" s="38"/>
      <c r="L73" s="38"/>
      <c r="M73" s="38"/>
      <c r="N73" s="38"/>
      <c r="O73" s="88"/>
    </row>
    <row r="74" spans="1:20">
      <c r="A74" s="1854"/>
      <c r="B74" s="1899"/>
      <c r="C74" s="73">
        <v>2016</v>
      </c>
      <c r="D74" s="135">
        <v>7</v>
      </c>
      <c r="E74" s="135">
        <v>1</v>
      </c>
      <c r="F74" s="135">
        <v>3</v>
      </c>
      <c r="G74" s="132">
        <f t="shared" si="5"/>
        <v>11</v>
      </c>
      <c r="H74" s="37">
        <v>5</v>
      </c>
      <c r="I74" s="37"/>
      <c r="J74" s="38"/>
      <c r="K74" s="38"/>
      <c r="L74" s="38"/>
      <c r="M74" s="38"/>
      <c r="N74" s="38"/>
      <c r="O74" s="88">
        <v>6</v>
      </c>
    </row>
    <row r="75" spans="1:20">
      <c r="A75" s="1854"/>
      <c r="B75" s="1899"/>
      <c r="C75" s="73">
        <v>2017</v>
      </c>
      <c r="D75" s="135"/>
      <c r="E75" s="135"/>
      <c r="F75" s="135"/>
      <c r="G75" s="132">
        <f t="shared" si="5"/>
        <v>0</v>
      </c>
      <c r="H75" s="37"/>
      <c r="I75" s="37"/>
      <c r="J75" s="38"/>
      <c r="K75" s="38"/>
      <c r="L75" s="38"/>
      <c r="M75" s="38"/>
      <c r="N75" s="38"/>
      <c r="O75" s="88"/>
    </row>
    <row r="76" spans="1:20">
      <c r="A76" s="1854"/>
      <c r="B76" s="1899"/>
      <c r="C76" s="73">
        <v>2018</v>
      </c>
      <c r="D76" s="135"/>
      <c r="E76" s="135"/>
      <c r="F76" s="135"/>
      <c r="G76" s="132">
        <f t="shared" si="5"/>
        <v>0</v>
      </c>
      <c r="H76" s="37"/>
      <c r="I76" s="37"/>
      <c r="J76" s="38"/>
      <c r="K76" s="38"/>
      <c r="L76" s="38"/>
      <c r="M76" s="38"/>
      <c r="N76" s="38"/>
      <c r="O76" s="88"/>
    </row>
    <row r="77" spans="1:20" ht="15.75" customHeight="1">
      <c r="A77" s="1854"/>
      <c r="B77" s="1899"/>
      <c r="C77" s="73">
        <v>2019</v>
      </c>
      <c r="D77" s="135"/>
      <c r="E77" s="135"/>
      <c r="F77" s="135"/>
      <c r="G77" s="132">
        <f t="shared" si="5"/>
        <v>0</v>
      </c>
      <c r="H77" s="37"/>
      <c r="I77" s="37"/>
      <c r="J77" s="38"/>
      <c r="K77" s="38"/>
      <c r="L77" s="38"/>
      <c r="M77" s="38"/>
      <c r="N77" s="38"/>
      <c r="O77" s="88"/>
    </row>
    <row r="78" spans="1:20" ht="17.25" customHeight="1">
      <c r="A78" s="1854"/>
      <c r="B78" s="1899"/>
      <c r="C78" s="73">
        <v>2020</v>
      </c>
      <c r="D78" s="135"/>
      <c r="E78" s="135"/>
      <c r="F78" s="135"/>
      <c r="G78" s="132">
        <f t="shared" si="5"/>
        <v>0</v>
      </c>
      <c r="H78" s="37"/>
      <c r="I78" s="37"/>
      <c r="J78" s="38"/>
      <c r="K78" s="38"/>
      <c r="L78" s="38"/>
      <c r="M78" s="38"/>
      <c r="N78" s="38"/>
      <c r="O78" s="88"/>
    </row>
    <row r="79" spans="1:20" ht="20.25" customHeight="1" thickBot="1">
      <c r="A79" s="1980"/>
      <c r="B79" s="1900"/>
      <c r="C79" s="136" t="s">
        <v>13</v>
      </c>
      <c r="D79" s="114">
        <f>SUM(D72:D78)</f>
        <v>7</v>
      </c>
      <c r="E79" s="114">
        <f>SUM(E72:E78)</f>
        <v>1</v>
      </c>
      <c r="F79" s="114">
        <f>SUM(F72:F78)</f>
        <v>3</v>
      </c>
      <c r="G79" s="137">
        <f>SUM(G72:G78)</f>
        <v>11</v>
      </c>
      <c r="H79" s="138">
        <v>0</v>
      </c>
      <c r="I79" s="139">
        <f t="shared" ref="I79:O79" si="6">SUM(I72:I78)</f>
        <v>0</v>
      </c>
      <c r="J79" s="116">
        <f t="shared" si="6"/>
        <v>0</v>
      </c>
      <c r="K79" s="116">
        <f t="shared" si="6"/>
        <v>0</v>
      </c>
      <c r="L79" s="116">
        <f t="shared" si="6"/>
        <v>0</v>
      </c>
      <c r="M79" s="116">
        <f t="shared" si="6"/>
        <v>0</v>
      </c>
      <c r="N79" s="116">
        <f t="shared" si="6"/>
        <v>0</v>
      </c>
      <c r="O79" s="117">
        <f t="shared" si="6"/>
        <v>6</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547" t="s">
        <v>56</v>
      </c>
      <c r="B84" s="548" t="s">
        <v>178</v>
      </c>
      <c r="C84" s="149" t="s">
        <v>9</v>
      </c>
      <c r="D84" s="150" t="s">
        <v>58</v>
      </c>
      <c r="E84" s="151" t="s">
        <v>59</v>
      </c>
      <c r="F84" s="152" t="s">
        <v>60</v>
      </c>
      <c r="G84" s="152" t="s">
        <v>61</v>
      </c>
      <c r="H84" s="152" t="s">
        <v>62</v>
      </c>
      <c r="I84" s="152" t="s">
        <v>63</v>
      </c>
      <c r="J84" s="152" t="s">
        <v>64</v>
      </c>
      <c r="K84" s="153" t="s">
        <v>65</v>
      </c>
    </row>
    <row r="85" spans="1:16" ht="15" customHeight="1">
      <c r="A85" s="1938"/>
      <c r="B85" s="1899"/>
      <c r="C85" s="72">
        <v>2014</v>
      </c>
      <c r="D85" s="154"/>
      <c r="E85" s="155"/>
      <c r="F85" s="31"/>
      <c r="G85" s="31"/>
      <c r="H85" s="31"/>
      <c r="I85" s="31"/>
      <c r="J85" s="31"/>
      <c r="K85" s="34"/>
    </row>
    <row r="86" spans="1:16">
      <c r="A86" s="1939"/>
      <c r="B86" s="1899"/>
      <c r="C86" s="73">
        <v>2015</v>
      </c>
      <c r="D86" s="156"/>
      <c r="E86" s="112"/>
      <c r="F86" s="38"/>
      <c r="G86" s="38"/>
      <c r="H86" s="38"/>
      <c r="I86" s="38"/>
      <c r="J86" s="38"/>
      <c r="K86" s="88"/>
    </row>
    <row r="87" spans="1:16">
      <c r="A87" s="1939"/>
      <c r="B87" s="1899"/>
      <c r="C87" s="73">
        <v>2016</v>
      </c>
      <c r="D87" s="156"/>
      <c r="E87" s="112"/>
      <c r="F87" s="38"/>
      <c r="G87" s="38"/>
      <c r="H87" s="38"/>
      <c r="I87" s="38"/>
      <c r="J87" s="38"/>
      <c r="K87" s="88"/>
    </row>
    <row r="88" spans="1:16">
      <c r="A88" s="1939"/>
      <c r="B88" s="1899"/>
      <c r="C88" s="73">
        <v>2017</v>
      </c>
      <c r="D88" s="156"/>
      <c r="E88" s="112"/>
      <c r="F88" s="38"/>
      <c r="G88" s="38"/>
      <c r="H88" s="38"/>
      <c r="I88" s="38"/>
      <c r="J88" s="38"/>
      <c r="K88" s="88"/>
    </row>
    <row r="89" spans="1:16">
      <c r="A89" s="1939"/>
      <c r="B89" s="1899"/>
      <c r="C89" s="73">
        <v>2018</v>
      </c>
      <c r="D89" s="156"/>
      <c r="E89" s="112"/>
      <c r="F89" s="38"/>
      <c r="G89" s="38"/>
      <c r="H89" s="38"/>
      <c r="I89" s="38"/>
      <c r="J89" s="38"/>
      <c r="K89" s="88"/>
    </row>
    <row r="90" spans="1:16">
      <c r="A90" s="1939"/>
      <c r="B90" s="1899"/>
      <c r="C90" s="73">
        <v>2019</v>
      </c>
      <c r="D90" s="156"/>
      <c r="E90" s="112"/>
      <c r="F90" s="38"/>
      <c r="G90" s="38"/>
      <c r="H90" s="38"/>
      <c r="I90" s="38"/>
      <c r="J90" s="38"/>
      <c r="K90" s="88"/>
    </row>
    <row r="91" spans="1:16">
      <c r="A91" s="1939"/>
      <c r="B91" s="1899"/>
      <c r="C91" s="73">
        <v>2020</v>
      </c>
      <c r="D91" s="156"/>
      <c r="E91" s="112"/>
      <c r="F91" s="38"/>
      <c r="G91" s="38"/>
      <c r="H91" s="38"/>
      <c r="I91" s="38"/>
      <c r="J91" s="38"/>
      <c r="K91" s="88"/>
    </row>
    <row r="92" spans="1:16" ht="18" customHeight="1" thickBot="1">
      <c r="A92" s="1940"/>
      <c r="B92" s="1900"/>
      <c r="C92" s="136" t="s">
        <v>13</v>
      </c>
      <c r="D92" s="157">
        <f t="shared" ref="D92:I92" si="7">SUM(D85:D91)</f>
        <v>0</v>
      </c>
      <c r="E92" s="115">
        <f t="shared" si="7"/>
        <v>0</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051" t="s">
        <v>68</v>
      </c>
      <c r="B96" s="2052" t="s">
        <v>179</v>
      </c>
      <c r="C96" s="2058" t="s">
        <v>9</v>
      </c>
      <c r="D96" s="1916" t="s">
        <v>70</v>
      </c>
      <c r="E96" s="1917"/>
      <c r="F96" s="162" t="s">
        <v>71</v>
      </c>
      <c r="G96" s="549"/>
      <c r="H96" s="549"/>
      <c r="I96" s="549"/>
      <c r="J96" s="549"/>
      <c r="K96" s="549"/>
      <c r="L96" s="549"/>
      <c r="M96" s="550"/>
      <c r="N96" s="165"/>
      <c r="O96" s="165"/>
      <c r="P96" s="165"/>
    </row>
    <row r="97" spans="1:16" ht="112.9" customHeight="1">
      <c r="A97" s="1910"/>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1898"/>
      <c r="B98" s="1899"/>
      <c r="C98" s="106">
        <v>2014</v>
      </c>
      <c r="D98" s="30"/>
      <c r="E98" s="31"/>
      <c r="F98" s="174"/>
      <c r="G98" s="175"/>
      <c r="H98" s="175"/>
      <c r="I98" s="175"/>
      <c r="J98" s="175"/>
      <c r="K98" s="175"/>
      <c r="L98" s="175"/>
      <c r="M98" s="176"/>
      <c r="N98" s="165"/>
      <c r="O98" s="165"/>
      <c r="P98" s="165"/>
    </row>
    <row r="99" spans="1:16" ht="16.5" customHeight="1">
      <c r="A99" s="1891"/>
      <c r="B99" s="1899"/>
      <c r="C99" s="110">
        <v>2015</v>
      </c>
      <c r="D99" s="37"/>
      <c r="E99" s="38"/>
      <c r="F99" s="177"/>
      <c r="G99" s="178"/>
      <c r="H99" s="178"/>
      <c r="I99" s="178"/>
      <c r="J99" s="178"/>
      <c r="K99" s="178"/>
      <c r="L99" s="178"/>
      <c r="M99" s="179"/>
      <c r="N99" s="165"/>
      <c r="O99" s="165"/>
      <c r="P99" s="165"/>
    </row>
    <row r="100" spans="1:16" ht="16.5" customHeight="1">
      <c r="A100" s="1891"/>
      <c r="B100" s="1899"/>
      <c r="C100" s="110">
        <v>2016</v>
      </c>
      <c r="D100" s="37"/>
      <c r="E100" s="38"/>
      <c r="F100" s="177"/>
      <c r="G100" s="178"/>
      <c r="H100" s="178"/>
      <c r="I100" s="178"/>
      <c r="J100" s="178"/>
      <c r="K100" s="178"/>
      <c r="L100" s="178"/>
      <c r="M100" s="179"/>
      <c r="N100" s="165"/>
      <c r="O100" s="165"/>
      <c r="P100" s="165"/>
    </row>
    <row r="101" spans="1:16" ht="16.5" customHeight="1">
      <c r="A101" s="1891"/>
      <c r="B101" s="1899"/>
      <c r="C101" s="110">
        <v>2017</v>
      </c>
      <c r="D101" s="37"/>
      <c r="E101" s="38"/>
      <c r="F101" s="177"/>
      <c r="G101" s="178"/>
      <c r="H101" s="178"/>
      <c r="I101" s="178"/>
      <c r="J101" s="178"/>
      <c r="K101" s="178"/>
      <c r="L101" s="178"/>
      <c r="M101" s="179"/>
      <c r="N101" s="165"/>
      <c r="O101" s="165"/>
      <c r="P101" s="165"/>
    </row>
    <row r="102" spans="1:16" ht="15.75" customHeight="1">
      <c r="A102" s="1891"/>
      <c r="B102" s="1899"/>
      <c r="C102" s="110">
        <v>2018</v>
      </c>
      <c r="D102" s="37"/>
      <c r="E102" s="38"/>
      <c r="F102" s="177"/>
      <c r="G102" s="178"/>
      <c r="H102" s="178"/>
      <c r="I102" s="178"/>
      <c r="J102" s="178"/>
      <c r="K102" s="178"/>
      <c r="L102" s="178"/>
      <c r="M102" s="179"/>
      <c r="N102" s="165"/>
      <c r="O102" s="165"/>
      <c r="P102" s="165"/>
    </row>
    <row r="103" spans="1:16" ht="14.25" customHeight="1">
      <c r="A103" s="1891"/>
      <c r="B103" s="1899"/>
      <c r="C103" s="110">
        <v>2019</v>
      </c>
      <c r="D103" s="37"/>
      <c r="E103" s="38"/>
      <c r="F103" s="177"/>
      <c r="G103" s="178"/>
      <c r="H103" s="178"/>
      <c r="I103" s="178"/>
      <c r="J103" s="178"/>
      <c r="K103" s="178"/>
      <c r="L103" s="178"/>
      <c r="M103" s="179"/>
      <c r="N103" s="165"/>
      <c r="O103" s="165"/>
      <c r="P103" s="165"/>
    </row>
    <row r="104" spans="1:16" ht="14.25" customHeight="1">
      <c r="A104" s="1891"/>
      <c r="B104" s="1899"/>
      <c r="C104" s="110">
        <v>2020</v>
      </c>
      <c r="D104" s="37"/>
      <c r="E104" s="38"/>
      <c r="F104" s="177"/>
      <c r="G104" s="178"/>
      <c r="H104" s="178"/>
      <c r="I104" s="178"/>
      <c r="J104" s="178"/>
      <c r="K104" s="178"/>
      <c r="L104" s="178"/>
      <c r="M104" s="179"/>
      <c r="N104" s="165"/>
      <c r="O104" s="165"/>
      <c r="P104" s="165"/>
    </row>
    <row r="105" spans="1:16" ht="19.5" customHeight="1" thickBot="1">
      <c r="A105" s="1915"/>
      <c r="B105" s="1900"/>
      <c r="C105" s="113" t="s">
        <v>13</v>
      </c>
      <c r="D105" s="139">
        <f>SUM(D98:D104)</f>
        <v>0</v>
      </c>
      <c r="E105" s="116">
        <f t="shared" ref="E105:K105" si="8">SUM(E98:E104)</f>
        <v>0</v>
      </c>
      <c r="F105" s="180">
        <f t="shared" si="8"/>
        <v>0</v>
      </c>
      <c r="G105" s="181">
        <f t="shared" si="8"/>
        <v>0</v>
      </c>
      <c r="H105" s="181">
        <f t="shared" si="8"/>
        <v>0</v>
      </c>
      <c r="I105" s="181">
        <f>SUM(I98:I104)</f>
        <v>0</v>
      </c>
      <c r="J105" s="181">
        <f t="shared" si="8"/>
        <v>0</v>
      </c>
      <c r="K105" s="181">
        <f t="shared" si="8"/>
        <v>0</v>
      </c>
      <c r="L105" s="181">
        <f>SUM(L98:L104)</f>
        <v>0</v>
      </c>
      <c r="M105" s="182">
        <f>SUM(M98:M104)</f>
        <v>0</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051" t="s">
        <v>77</v>
      </c>
      <c r="B107" s="2052" t="s">
        <v>179</v>
      </c>
      <c r="C107" s="2058" t="s">
        <v>9</v>
      </c>
      <c r="D107" s="2414" t="s">
        <v>78</v>
      </c>
      <c r="E107" s="162" t="s">
        <v>79</v>
      </c>
      <c r="F107" s="549"/>
      <c r="G107" s="549"/>
      <c r="H107" s="549"/>
      <c r="I107" s="549"/>
      <c r="J107" s="549"/>
      <c r="K107" s="549"/>
      <c r="L107" s="550"/>
      <c r="M107" s="185"/>
      <c r="N107" s="185"/>
    </row>
    <row r="108" spans="1:16" ht="117.6"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1898"/>
      <c r="B109" s="1899"/>
      <c r="C109" s="106">
        <v>2014</v>
      </c>
      <c r="D109" s="31"/>
      <c r="E109" s="174"/>
      <c r="F109" s="175"/>
      <c r="G109" s="175"/>
      <c r="H109" s="175"/>
      <c r="I109" s="175"/>
      <c r="J109" s="175"/>
      <c r="K109" s="175"/>
      <c r="L109" s="176"/>
      <c r="M109" s="185"/>
      <c r="N109" s="185"/>
    </row>
    <row r="110" spans="1:16">
      <c r="A110" s="1891"/>
      <c r="B110" s="1899"/>
      <c r="C110" s="110">
        <v>2015</v>
      </c>
      <c r="D110" s="38"/>
      <c r="E110" s="177"/>
      <c r="F110" s="178"/>
      <c r="G110" s="178"/>
      <c r="H110" s="178"/>
      <c r="I110" s="178"/>
      <c r="J110" s="178"/>
      <c r="K110" s="178"/>
      <c r="L110" s="179"/>
      <c r="M110" s="185"/>
      <c r="N110" s="185"/>
    </row>
    <row r="111" spans="1:16">
      <c r="A111" s="1891"/>
      <c r="B111" s="1899"/>
      <c r="C111" s="110">
        <v>2016</v>
      </c>
      <c r="D111" s="38"/>
      <c r="E111" s="177"/>
      <c r="F111" s="178"/>
      <c r="G111" s="178"/>
      <c r="H111" s="178"/>
      <c r="I111" s="178"/>
      <c r="J111" s="178"/>
      <c r="K111" s="178"/>
      <c r="L111" s="179"/>
      <c r="M111" s="185"/>
      <c r="N111" s="185"/>
    </row>
    <row r="112" spans="1:16">
      <c r="A112" s="1891"/>
      <c r="B112" s="1899"/>
      <c r="C112" s="110">
        <v>2017</v>
      </c>
      <c r="D112" s="38"/>
      <c r="E112" s="177"/>
      <c r="F112" s="178"/>
      <c r="G112" s="178"/>
      <c r="H112" s="178"/>
      <c r="I112" s="178"/>
      <c r="J112" s="178"/>
      <c r="K112" s="178"/>
      <c r="L112" s="179"/>
      <c r="M112" s="185"/>
      <c r="N112" s="185"/>
    </row>
    <row r="113" spans="1:14">
      <c r="A113" s="1891"/>
      <c r="B113" s="1899"/>
      <c r="C113" s="110">
        <v>2018</v>
      </c>
      <c r="D113" s="38"/>
      <c r="E113" s="177"/>
      <c r="F113" s="178"/>
      <c r="G113" s="178"/>
      <c r="H113" s="178"/>
      <c r="I113" s="178"/>
      <c r="J113" s="178"/>
      <c r="K113" s="178"/>
      <c r="L113" s="179"/>
      <c r="M113" s="185"/>
      <c r="N113" s="185"/>
    </row>
    <row r="114" spans="1:14">
      <c r="A114" s="1891"/>
      <c r="B114" s="1899"/>
      <c r="C114" s="110">
        <v>2019</v>
      </c>
      <c r="D114" s="38"/>
      <c r="E114" s="177"/>
      <c r="F114" s="178"/>
      <c r="G114" s="178"/>
      <c r="H114" s="178"/>
      <c r="I114" s="178"/>
      <c r="J114" s="178"/>
      <c r="K114" s="178"/>
      <c r="L114" s="179"/>
      <c r="M114" s="185"/>
      <c r="N114" s="185"/>
    </row>
    <row r="115" spans="1:14">
      <c r="A115" s="1891"/>
      <c r="B115" s="1899"/>
      <c r="C115" s="110">
        <v>2020</v>
      </c>
      <c r="D115" s="38"/>
      <c r="E115" s="177"/>
      <c r="F115" s="178"/>
      <c r="G115" s="178"/>
      <c r="H115" s="178"/>
      <c r="I115" s="178"/>
      <c r="J115" s="178"/>
      <c r="K115" s="178"/>
      <c r="L115" s="179"/>
      <c r="M115" s="185"/>
      <c r="N115" s="185"/>
    </row>
    <row r="116" spans="1:14" ht="25.5" customHeight="1" thickBot="1">
      <c r="A116" s="1915"/>
      <c r="B116" s="1900"/>
      <c r="C116" s="113" t="s">
        <v>13</v>
      </c>
      <c r="D116" s="116">
        <f t="shared" ref="D116:I116" si="9">SUM(D109:D115)</f>
        <v>0</v>
      </c>
      <c r="E116" s="180">
        <f t="shared" si="9"/>
        <v>0</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051" t="s">
        <v>81</v>
      </c>
      <c r="B118" s="2052" t="s">
        <v>179</v>
      </c>
      <c r="C118" s="2058" t="s">
        <v>9</v>
      </c>
      <c r="D118" s="2414" t="s">
        <v>82</v>
      </c>
      <c r="E118" s="162" t="s">
        <v>79</v>
      </c>
      <c r="F118" s="549"/>
      <c r="G118" s="549"/>
      <c r="H118" s="549"/>
      <c r="I118" s="549"/>
      <c r="J118" s="549"/>
      <c r="K118" s="549"/>
      <c r="L118" s="550"/>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1898"/>
      <c r="B120" s="1899"/>
      <c r="C120" s="106">
        <v>2014</v>
      </c>
      <c r="D120" s="31"/>
      <c r="E120" s="174"/>
      <c r="F120" s="175"/>
      <c r="G120" s="175"/>
      <c r="H120" s="175"/>
      <c r="I120" s="175"/>
      <c r="J120" s="175"/>
      <c r="K120" s="175"/>
      <c r="L120" s="176"/>
      <c r="M120" s="185"/>
      <c r="N120" s="185"/>
    </row>
    <row r="121" spans="1:14">
      <c r="A121" s="1891"/>
      <c r="B121" s="1899"/>
      <c r="C121" s="110">
        <v>2015</v>
      </c>
      <c r="D121" s="38"/>
      <c r="E121" s="177"/>
      <c r="F121" s="178"/>
      <c r="G121" s="178"/>
      <c r="H121" s="178"/>
      <c r="I121" s="178"/>
      <c r="J121" s="178"/>
      <c r="K121" s="178"/>
      <c r="L121" s="179"/>
      <c r="M121" s="185"/>
      <c r="N121" s="185"/>
    </row>
    <row r="122" spans="1:14">
      <c r="A122" s="1891"/>
      <c r="B122" s="1899"/>
      <c r="C122" s="110">
        <v>2016</v>
      </c>
      <c r="D122" s="38"/>
      <c r="E122" s="177"/>
      <c r="F122" s="178"/>
      <c r="G122" s="178"/>
      <c r="H122" s="178"/>
      <c r="I122" s="178"/>
      <c r="J122" s="178"/>
      <c r="K122" s="178"/>
      <c r="L122" s="179"/>
      <c r="M122" s="185"/>
      <c r="N122" s="185"/>
    </row>
    <row r="123" spans="1:14">
      <c r="A123" s="1891"/>
      <c r="B123" s="1899"/>
      <c r="C123" s="110">
        <v>2017</v>
      </c>
      <c r="D123" s="38"/>
      <c r="E123" s="177"/>
      <c r="F123" s="178"/>
      <c r="G123" s="178"/>
      <c r="H123" s="178"/>
      <c r="I123" s="178"/>
      <c r="J123" s="178"/>
      <c r="K123" s="178"/>
      <c r="L123" s="179"/>
      <c r="M123" s="185"/>
      <c r="N123" s="185"/>
    </row>
    <row r="124" spans="1:14">
      <c r="A124" s="1891"/>
      <c r="B124" s="1899"/>
      <c r="C124" s="110">
        <v>2018</v>
      </c>
      <c r="D124" s="38"/>
      <c r="E124" s="177"/>
      <c r="F124" s="178"/>
      <c r="G124" s="178"/>
      <c r="H124" s="178"/>
      <c r="I124" s="178"/>
      <c r="J124" s="178"/>
      <c r="K124" s="178"/>
      <c r="L124" s="179"/>
      <c r="M124" s="185"/>
      <c r="N124" s="185"/>
    </row>
    <row r="125" spans="1:14">
      <c r="A125" s="1891"/>
      <c r="B125" s="1899"/>
      <c r="C125" s="110">
        <v>2019</v>
      </c>
      <c r="D125" s="38"/>
      <c r="E125" s="177"/>
      <c r="F125" s="178"/>
      <c r="G125" s="178"/>
      <c r="H125" s="178"/>
      <c r="I125" s="178"/>
      <c r="J125" s="178"/>
      <c r="K125" s="178"/>
      <c r="L125" s="179"/>
      <c r="M125" s="185"/>
      <c r="N125" s="185"/>
    </row>
    <row r="126" spans="1:14">
      <c r="A126" s="1891"/>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051" t="s">
        <v>84</v>
      </c>
      <c r="B129" s="2052" t="s">
        <v>179</v>
      </c>
      <c r="C129" s="1534" t="s">
        <v>9</v>
      </c>
      <c r="D129" s="189" t="s">
        <v>85</v>
      </c>
      <c r="E129" s="553"/>
      <c r="F129" s="553"/>
      <c r="G129" s="191"/>
      <c r="H129" s="185"/>
      <c r="I129" s="185"/>
      <c r="J129" s="185"/>
      <c r="K129" s="185"/>
      <c r="L129" s="185"/>
      <c r="M129" s="185"/>
      <c r="N129" s="185"/>
    </row>
    <row r="130" spans="1:16" ht="77.25" customHeight="1">
      <c r="A130" s="1910"/>
      <c r="B130" s="1912"/>
      <c r="C130" s="1528"/>
      <c r="D130" s="166" t="s">
        <v>86</v>
      </c>
      <c r="E130" s="193" t="s">
        <v>87</v>
      </c>
      <c r="F130" s="167" t="s">
        <v>88</v>
      </c>
      <c r="G130" s="194" t="s">
        <v>13</v>
      </c>
      <c r="H130" s="185"/>
      <c r="I130" s="185"/>
      <c r="J130" s="185"/>
      <c r="K130" s="185"/>
      <c r="L130" s="185"/>
      <c r="M130" s="185"/>
      <c r="N130" s="185"/>
    </row>
    <row r="131" spans="1:16" ht="15" customHeight="1">
      <c r="A131" s="1874"/>
      <c r="B131" s="1855"/>
      <c r="C131" s="106">
        <v>2015</v>
      </c>
      <c r="D131" s="30"/>
      <c r="E131" s="31"/>
      <c r="F131" s="31"/>
      <c r="G131" s="195">
        <f t="shared" ref="G131:G136" si="11">SUM(D131:F131)</f>
        <v>0</v>
      </c>
      <c r="H131" s="185"/>
      <c r="I131" s="185"/>
      <c r="J131" s="185"/>
      <c r="K131" s="185"/>
      <c r="L131" s="185"/>
      <c r="M131" s="185"/>
      <c r="N131" s="185"/>
    </row>
    <row r="132" spans="1:16">
      <c r="A132" s="1854"/>
      <c r="B132" s="1855"/>
      <c r="C132" s="110">
        <v>2016</v>
      </c>
      <c r="D132" s="37"/>
      <c r="E132" s="38"/>
      <c r="F132" s="38"/>
      <c r="G132" s="195">
        <f t="shared" si="11"/>
        <v>0</v>
      </c>
      <c r="H132" s="185"/>
      <c r="I132" s="185"/>
      <c r="J132" s="185"/>
      <c r="K132" s="185"/>
      <c r="L132" s="185"/>
      <c r="M132" s="185"/>
      <c r="N132" s="185"/>
    </row>
    <row r="133" spans="1:16">
      <c r="A133" s="1854"/>
      <c r="B133" s="1855"/>
      <c r="C133" s="110">
        <v>2017</v>
      </c>
      <c r="D133" s="37"/>
      <c r="E133" s="38"/>
      <c r="F133" s="38"/>
      <c r="G133" s="195">
        <f t="shared" si="11"/>
        <v>0</v>
      </c>
      <c r="H133" s="185"/>
      <c r="I133" s="185"/>
      <c r="J133" s="185"/>
      <c r="K133" s="185"/>
      <c r="L133" s="185"/>
      <c r="M133" s="185"/>
      <c r="N133" s="185"/>
    </row>
    <row r="134" spans="1:16">
      <c r="A134" s="1854"/>
      <c r="B134" s="1855"/>
      <c r="C134" s="110">
        <v>2018</v>
      </c>
      <c r="D134" s="37"/>
      <c r="E134" s="38"/>
      <c r="F134" s="38"/>
      <c r="G134" s="195">
        <f t="shared" si="11"/>
        <v>0</v>
      </c>
      <c r="H134" s="185"/>
      <c r="I134" s="185"/>
      <c r="J134" s="185"/>
      <c r="K134" s="185"/>
      <c r="L134" s="185"/>
      <c r="M134" s="185"/>
      <c r="N134" s="185"/>
    </row>
    <row r="135" spans="1:16">
      <c r="A135" s="1854"/>
      <c r="B135" s="1855"/>
      <c r="C135" s="110">
        <v>2019</v>
      </c>
      <c r="D135" s="37"/>
      <c r="E135" s="38"/>
      <c r="F135" s="38"/>
      <c r="G135" s="195">
        <f t="shared" si="11"/>
        <v>0</v>
      </c>
      <c r="H135" s="185"/>
      <c r="I135" s="185"/>
      <c r="J135" s="185"/>
      <c r="K135" s="185"/>
      <c r="L135" s="185"/>
      <c r="M135" s="185"/>
      <c r="N135" s="185"/>
    </row>
    <row r="136" spans="1:16">
      <c r="A136" s="1854"/>
      <c r="B136" s="1855"/>
      <c r="C136" s="110">
        <v>2020</v>
      </c>
      <c r="D136" s="37"/>
      <c r="E136" s="38"/>
      <c r="F136" s="38"/>
      <c r="G136" s="195">
        <f t="shared" si="11"/>
        <v>0</v>
      </c>
      <c r="H136" s="185"/>
      <c r="I136" s="185"/>
      <c r="J136" s="185"/>
      <c r="K136" s="185"/>
      <c r="L136" s="185"/>
      <c r="M136" s="185"/>
      <c r="N136" s="185"/>
    </row>
    <row r="137" spans="1:16" ht="17.25" customHeight="1" thickBot="1">
      <c r="A137" s="1856"/>
      <c r="B137" s="1857"/>
      <c r="C137" s="113" t="s">
        <v>13</v>
      </c>
      <c r="D137" s="139">
        <f>SUM(D131:D136)</f>
        <v>0</v>
      </c>
      <c r="E137" s="139">
        <f t="shared" ref="E137:F137" si="12">SUM(E131:E136)</f>
        <v>0</v>
      </c>
      <c r="F137" s="139">
        <f t="shared" si="12"/>
        <v>0</v>
      </c>
      <c r="G137" s="196">
        <f>SUM(G131:G136)</f>
        <v>0</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050" t="s">
        <v>91</v>
      </c>
      <c r="B142" s="2048" t="s">
        <v>179</v>
      </c>
      <c r="C142" s="2043" t="s">
        <v>9</v>
      </c>
      <c r="D142" s="554" t="s">
        <v>92</v>
      </c>
      <c r="E142" s="555"/>
      <c r="F142" s="555"/>
      <c r="G142" s="555"/>
      <c r="H142" s="555"/>
      <c r="I142" s="556"/>
      <c r="J142" s="2044" t="s">
        <v>93</v>
      </c>
      <c r="K142" s="2045"/>
      <c r="L142" s="2045"/>
      <c r="M142" s="2045"/>
      <c r="N142" s="2046"/>
      <c r="O142" s="165"/>
      <c r="P142" s="165"/>
    </row>
    <row r="143" spans="1:16" ht="121.1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c r="B144" s="1899"/>
      <c r="C144" s="106">
        <v>2014</v>
      </c>
      <c r="D144" s="30"/>
      <c r="E144" s="30"/>
      <c r="F144" s="31"/>
      <c r="G144" s="175"/>
      <c r="H144" s="175"/>
      <c r="I144" s="213">
        <f>D144+F144+G144+H144</f>
        <v>0</v>
      </c>
      <c r="J144" s="214"/>
      <c r="K144" s="215"/>
      <c r="L144" s="214"/>
      <c r="M144" s="215"/>
      <c r="N144" s="216"/>
      <c r="O144" s="165"/>
      <c r="P144" s="165"/>
    </row>
    <row r="145" spans="1:16" ht="19.5" customHeight="1">
      <c r="A145" s="1891"/>
      <c r="B145" s="1899"/>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1891"/>
      <c r="B146" s="1899"/>
      <c r="C146" s="110">
        <v>2016</v>
      </c>
      <c r="D146" s="37"/>
      <c r="E146" s="37"/>
      <c r="F146" s="38"/>
      <c r="G146" s="178"/>
      <c r="H146" s="178"/>
      <c r="I146" s="213">
        <f t="shared" si="13"/>
        <v>0</v>
      </c>
      <c r="J146" s="217"/>
      <c r="K146" s="218"/>
      <c r="L146" s="217"/>
      <c r="M146" s="218"/>
      <c r="N146" s="219"/>
      <c r="O146" s="165"/>
      <c r="P146" s="165"/>
    </row>
    <row r="147" spans="1:16" ht="17.25" customHeight="1">
      <c r="A147" s="1891"/>
      <c r="B147" s="1899"/>
      <c r="C147" s="110">
        <v>2017</v>
      </c>
      <c r="D147" s="37"/>
      <c r="E147" s="37"/>
      <c r="F147" s="38"/>
      <c r="G147" s="178"/>
      <c r="H147" s="178"/>
      <c r="I147" s="213">
        <f t="shared" si="13"/>
        <v>0</v>
      </c>
      <c r="J147" s="217"/>
      <c r="K147" s="218"/>
      <c r="L147" s="217"/>
      <c r="M147" s="218"/>
      <c r="N147" s="219"/>
      <c r="O147" s="165"/>
      <c r="P147" s="165"/>
    </row>
    <row r="148" spans="1:16" ht="19.5" customHeight="1">
      <c r="A148" s="1891"/>
      <c r="B148" s="1899"/>
      <c r="C148" s="110">
        <v>2018</v>
      </c>
      <c r="D148" s="37"/>
      <c r="E148" s="37"/>
      <c r="F148" s="38"/>
      <c r="G148" s="178"/>
      <c r="H148" s="178"/>
      <c r="I148" s="213">
        <f t="shared" si="13"/>
        <v>0</v>
      </c>
      <c r="J148" s="217"/>
      <c r="K148" s="218"/>
      <c r="L148" s="217"/>
      <c r="M148" s="218"/>
      <c r="N148" s="219"/>
      <c r="O148" s="165"/>
      <c r="P148" s="165"/>
    </row>
    <row r="149" spans="1:16" ht="19.5" customHeight="1">
      <c r="A149" s="1891"/>
      <c r="B149" s="1899"/>
      <c r="C149" s="110">
        <v>2019</v>
      </c>
      <c r="D149" s="37"/>
      <c r="E149" s="37"/>
      <c r="F149" s="38"/>
      <c r="G149" s="178"/>
      <c r="H149" s="178"/>
      <c r="I149" s="213">
        <f t="shared" si="13"/>
        <v>0</v>
      </c>
      <c r="J149" s="217"/>
      <c r="K149" s="218"/>
      <c r="L149" s="217"/>
      <c r="M149" s="218"/>
      <c r="N149" s="219"/>
      <c r="O149" s="165"/>
      <c r="P149" s="165"/>
    </row>
    <row r="150" spans="1:16" ht="18.75" customHeight="1">
      <c r="A150" s="1891"/>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2047" t="s">
        <v>105</v>
      </c>
      <c r="B153" s="2048" t="s">
        <v>179</v>
      </c>
      <c r="C153" s="2049" t="s">
        <v>9</v>
      </c>
      <c r="D153" s="557" t="s">
        <v>106</v>
      </c>
      <c r="E153" s="557"/>
      <c r="F153" s="558"/>
      <c r="G153" s="558"/>
      <c r="H153" s="557" t="s">
        <v>107</v>
      </c>
      <c r="I153" s="557"/>
      <c r="J153" s="559"/>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1898"/>
      <c r="B155" s="1899"/>
      <c r="C155" s="233">
        <v>2014</v>
      </c>
      <c r="D155" s="214"/>
      <c r="E155" s="175"/>
      <c r="F155" s="215"/>
      <c r="G155" s="213">
        <f>SUM(D155:F155)</f>
        <v>0</v>
      </c>
      <c r="H155" s="214"/>
      <c r="I155" s="175"/>
      <c r="J155" s="176"/>
      <c r="O155" s="165"/>
      <c r="P155" s="165"/>
    </row>
    <row r="156" spans="1:16" ht="19.5" customHeight="1">
      <c r="A156" s="1891"/>
      <c r="B156" s="1899"/>
      <c r="C156" s="234">
        <v>2015</v>
      </c>
      <c r="D156" s="217"/>
      <c r="E156" s="178"/>
      <c r="F156" s="218"/>
      <c r="G156" s="213">
        <f t="shared" ref="G156:G161" si="15">SUM(D156:F156)</f>
        <v>0</v>
      </c>
      <c r="H156" s="217"/>
      <c r="I156" s="178"/>
      <c r="J156" s="179"/>
      <c r="O156" s="165"/>
      <c r="P156" s="165"/>
    </row>
    <row r="157" spans="1:16" ht="17.25" customHeight="1">
      <c r="A157" s="1891"/>
      <c r="B157" s="1899"/>
      <c r="C157" s="234">
        <v>2016</v>
      </c>
      <c r="D157" s="217"/>
      <c r="E157" s="178"/>
      <c r="F157" s="218"/>
      <c r="G157" s="213">
        <f t="shared" si="15"/>
        <v>0</v>
      </c>
      <c r="H157" s="217"/>
      <c r="I157" s="178"/>
      <c r="J157" s="179"/>
      <c r="O157" s="165"/>
      <c r="P157" s="165"/>
    </row>
    <row r="158" spans="1:16" ht="15" customHeight="1">
      <c r="A158" s="1891"/>
      <c r="B158" s="1899"/>
      <c r="C158" s="234">
        <v>2017</v>
      </c>
      <c r="D158" s="217"/>
      <c r="E158" s="178"/>
      <c r="F158" s="218"/>
      <c r="G158" s="213">
        <f t="shared" si="15"/>
        <v>0</v>
      </c>
      <c r="H158" s="217"/>
      <c r="I158" s="178"/>
      <c r="J158" s="179"/>
      <c r="O158" s="165"/>
      <c r="P158" s="165"/>
    </row>
    <row r="159" spans="1:16" ht="19.5" customHeight="1">
      <c r="A159" s="1891"/>
      <c r="B159" s="1899"/>
      <c r="C159" s="234">
        <v>2018</v>
      </c>
      <c r="D159" s="217"/>
      <c r="E159" s="178"/>
      <c r="F159" s="218"/>
      <c r="G159" s="213">
        <f t="shared" si="15"/>
        <v>0</v>
      </c>
      <c r="H159" s="217"/>
      <c r="I159" s="178"/>
      <c r="J159" s="179"/>
      <c r="O159" s="165"/>
      <c r="P159" s="165"/>
    </row>
    <row r="160" spans="1:16" ht="15" customHeight="1">
      <c r="A160" s="1891"/>
      <c r="B160" s="1899"/>
      <c r="C160" s="234">
        <v>2019</v>
      </c>
      <c r="D160" s="217"/>
      <c r="E160" s="178"/>
      <c r="F160" s="218"/>
      <c r="G160" s="213">
        <f t="shared" si="15"/>
        <v>0</v>
      </c>
      <c r="H160" s="217"/>
      <c r="I160" s="178"/>
      <c r="J160" s="179"/>
      <c r="O160" s="165"/>
      <c r="P160" s="165"/>
    </row>
    <row r="161" spans="1:18" ht="17.25" customHeight="1">
      <c r="A161" s="1891"/>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560"/>
      <c r="F163" s="165"/>
      <c r="G163" s="165"/>
      <c r="H163" s="165"/>
      <c r="I163" s="165"/>
      <c r="J163" s="241"/>
      <c r="K163" s="242"/>
    </row>
    <row r="164" spans="1:18" ht="95.25" customHeight="1">
      <c r="A164" s="243" t="s">
        <v>115</v>
      </c>
      <c r="B164" s="405" t="s">
        <v>181</v>
      </c>
      <c r="C164" s="1567" t="s">
        <v>9</v>
      </c>
      <c r="D164" s="246" t="s">
        <v>117</v>
      </c>
      <c r="E164" s="246" t="s">
        <v>118</v>
      </c>
      <c r="F164" s="561" t="s">
        <v>119</v>
      </c>
      <c r="G164" s="246" t="s">
        <v>120</v>
      </c>
      <c r="H164" s="246" t="s">
        <v>121</v>
      </c>
      <c r="I164" s="248" t="s">
        <v>122</v>
      </c>
      <c r="J164" s="249" t="s">
        <v>123</v>
      </c>
      <c r="K164" s="249" t="s">
        <v>124</v>
      </c>
      <c r="L164" s="1531"/>
    </row>
    <row r="165" spans="1:18" ht="15.75" customHeight="1">
      <c r="A165" s="1878"/>
      <c r="B165" s="1879"/>
      <c r="C165" s="251">
        <v>2014</v>
      </c>
      <c r="D165" s="175"/>
      <c r="E165" s="175"/>
      <c r="F165" s="175"/>
      <c r="G165" s="175"/>
      <c r="H165" s="175"/>
      <c r="I165" s="176"/>
      <c r="J165" s="252">
        <f>SUM(D165,F165,H165)</f>
        <v>0</v>
      </c>
      <c r="K165" s="253">
        <f>SUM(E165,G165,I165)</f>
        <v>0</v>
      </c>
      <c r="L165" s="1531"/>
    </row>
    <row r="166" spans="1:18">
      <c r="A166" s="1880"/>
      <c r="B166" s="1881"/>
      <c r="C166" s="254">
        <v>2015</v>
      </c>
      <c r="D166" s="255"/>
      <c r="E166" s="255"/>
      <c r="F166" s="255"/>
      <c r="G166" s="255"/>
      <c r="H166" s="255"/>
      <c r="I166" s="256"/>
      <c r="J166" s="407">
        <f t="shared" ref="J166:K171" si="17">SUM(D166,F166,H166)</f>
        <v>0</v>
      </c>
      <c r="K166" s="408">
        <f t="shared" si="17"/>
        <v>0</v>
      </c>
      <c r="L166" s="1531"/>
    </row>
    <row r="167" spans="1:18">
      <c r="A167" s="1880"/>
      <c r="B167" s="1881"/>
      <c r="C167" s="254">
        <v>2016</v>
      </c>
      <c r="D167" s="255"/>
      <c r="E167" s="255"/>
      <c r="F167" s="255"/>
      <c r="G167" s="255"/>
      <c r="H167" s="255"/>
      <c r="I167" s="256"/>
      <c r="J167" s="407">
        <f t="shared" si="17"/>
        <v>0</v>
      </c>
      <c r="K167" s="408">
        <f t="shared" si="17"/>
        <v>0</v>
      </c>
    </row>
    <row r="168" spans="1:18">
      <c r="A168" s="1880"/>
      <c r="B168" s="1881"/>
      <c r="C168" s="254">
        <v>2017</v>
      </c>
      <c r="D168" s="255"/>
      <c r="E168" s="165"/>
      <c r="F168" s="255"/>
      <c r="G168" s="255"/>
      <c r="H168" s="255"/>
      <c r="I168" s="256"/>
      <c r="J168" s="407">
        <f t="shared" si="17"/>
        <v>0</v>
      </c>
      <c r="K168" s="408">
        <f t="shared" si="17"/>
        <v>0</v>
      </c>
    </row>
    <row r="169" spans="1:18">
      <c r="A169" s="1880"/>
      <c r="B169" s="1881"/>
      <c r="C169" s="262">
        <v>2018</v>
      </c>
      <c r="D169" s="255"/>
      <c r="E169" s="255"/>
      <c r="F169" s="255"/>
      <c r="G169" s="263"/>
      <c r="H169" s="255"/>
      <c r="I169" s="256"/>
      <c r="J169" s="407">
        <f t="shared" si="17"/>
        <v>0</v>
      </c>
      <c r="K169" s="408">
        <f t="shared" si="17"/>
        <v>0</v>
      </c>
      <c r="L169" s="1531"/>
    </row>
    <row r="170" spans="1:18">
      <c r="A170" s="1880"/>
      <c r="B170" s="1881"/>
      <c r="C170" s="254">
        <v>2019</v>
      </c>
      <c r="D170" s="165"/>
      <c r="E170" s="255"/>
      <c r="F170" s="255"/>
      <c r="G170" s="255"/>
      <c r="H170" s="263"/>
      <c r="I170" s="256"/>
      <c r="J170" s="407">
        <f t="shared" si="17"/>
        <v>0</v>
      </c>
      <c r="K170" s="408">
        <f t="shared" si="17"/>
        <v>0</v>
      </c>
      <c r="L170" s="1531"/>
    </row>
    <row r="171" spans="1:18">
      <c r="A171" s="1880"/>
      <c r="B171" s="1881"/>
      <c r="C171" s="262">
        <v>2020</v>
      </c>
      <c r="D171" s="255"/>
      <c r="E171" s="255"/>
      <c r="F171" s="255"/>
      <c r="G171" s="255"/>
      <c r="H171" s="255"/>
      <c r="I171" s="256"/>
      <c r="J171" s="407">
        <f t="shared" si="17"/>
        <v>0</v>
      </c>
      <c r="K171" s="408">
        <f t="shared" si="17"/>
        <v>0</v>
      </c>
      <c r="L171" s="1531"/>
    </row>
    <row r="172" spans="1:18" ht="41.25" customHeight="1" thickBot="1">
      <c r="A172" s="1882"/>
      <c r="B172" s="1883"/>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1531"/>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039" t="s">
        <v>127</v>
      </c>
      <c r="B176" s="2037" t="s">
        <v>182</v>
      </c>
      <c r="C176" s="2040" t="s">
        <v>9</v>
      </c>
      <c r="D176" s="273" t="s">
        <v>128</v>
      </c>
      <c r="E176" s="562"/>
      <c r="F176" s="562"/>
      <c r="G176" s="563"/>
      <c r="H176" s="276"/>
      <c r="I176" s="1888" t="s">
        <v>129</v>
      </c>
      <c r="J176" s="2041"/>
      <c r="K176" s="2041"/>
      <c r="L176" s="2041"/>
      <c r="M176" s="2041"/>
      <c r="N176" s="2041"/>
      <c r="O176" s="2042"/>
    </row>
    <row r="177" spans="1:15" s="56" customFormat="1" ht="139.1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1898" t="s">
        <v>488</v>
      </c>
      <c r="B178" s="1899"/>
      <c r="C178" s="106">
        <v>2014</v>
      </c>
      <c r="D178" s="30"/>
      <c r="E178" s="31"/>
      <c r="F178" s="31"/>
      <c r="G178" s="284">
        <f>SUM(D178:F178)</f>
        <v>0</v>
      </c>
      <c r="H178" s="155"/>
      <c r="I178" s="155"/>
      <c r="J178" s="31"/>
      <c r="K178" s="31"/>
      <c r="L178" s="31"/>
      <c r="M178" s="31"/>
      <c r="N178" s="31"/>
      <c r="O178" s="34"/>
    </row>
    <row r="179" spans="1:15">
      <c r="A179" s="1891"/>
      <c r="B179" s="1899"/>
      <c r="C179" s="110">
        <v>2015</v>
      </c>
      <c r="D179" s="37"/>
      <c r="E179" s="38"/>
      <c r="F179" s="38"/>
      <c r="G179" s="284">
        <f t="shared" ref="G179:G184" si="19">SUM(D179:F179)</f>
        <v>0</v>
      </c>
      <c r="H179" s="411"/>
      <c r="I179" s="112"/>
      <c r="J179" s="38"/>
      <c r="K179" s="38"/>
      <c r="L179" s="38"/>
      <c r="M179" s="38"/>
      <c r="N179" s="38"/>
      <c r="O179" s="88"/>
    </row>
    <row r="180" spans="1:15">
      <c r="A180" s="1891"/>
      <c r="B180" s="1899"/>
      <c r="C180" s="110">
        <v>2016</v>
      </c>
      <c r="D180" s="37">
        <v>19</v>
      </c>
      <c r="E180" s="38"/>
      <c r="F180" s="38"/>
      <c r="G180" s="284">
        <f t="shared" si="19"/>
        <v>19</v>
      </c>
      <c r="H180" s="411">
        <v>20</v>
      </c>
      <c r="I180" s="112">
        <v>7</v>
      </c>
      <c r="J180" s="38"/>
      <c r="K180" s="38"/>
      <c r="L180" s="38"/>
      <c r="M180" s="38"/>
      <c r="N180" s="38"/>
      <c r="O180" s="88">
        <v>12</v>
      </c>
    </row>
    <row r="181" spans="1:15">
      <c r="A181" s="1891"/>
      <c r="B181" s="1899"/>
      <c r="C181" s="110">
        <v>2017</v>
      </c>
      <c r="D181" s="37">
        <v>1</v>
      </c>
      <c r="E181" s="38">
        <v>1</v>
      </c>
      <c r="F181" s="38"/>
      <c r="G181" s="284">
        <f t="shared" si="19"/>
        <v>2</v>
      </c>
      <c r="H181" s="411">
        <v>2</v>
      </c>
      <c r="I181" s="112">
        <v>2</v>
      </c>
      <c r="J181" s="38"/>
      <c r="K181" s="38"/>
      <c r="L181" s="38"/>
      <c r="M181" s="38"/>
      <c r="N181" s="38"/>
      <c r="O181" s="88"/>
    </row>
    <row r="182" spans="1:15">
      <c r="A182" s="1891"/>
      <c r="B182" s="1899"/>
      <c r="C182" s="110">
        <v>2018</v>
      </c>
      <c r="D182" s="37"/>
      <c r="E182" s="38"/>
      <c r="F182" s="38"/>
      <c r="G182" s="284">
        <f t="shared" si="19"/>
        <v>0</v>
      </c>
      <c r="H182" s="411"/>
      <c r="I182" s="112"/>
      <c r="J182" s="38"/>
      <c r="K182" s="38"/>
      <c r="L182" s="38"/>
      <c r="M182" s="38"/>
      <c r="N182" s="38"/>
      <c r="O182" s="88"/>
    </row>
    <row r="183" spans="1:15">
      <c r="A183" s="1891"/>
      <c r="B183" s="1899"/>
      <c r="C183" s="110">
        <v>2019</v>
      </c>
      <c r="D183" s="37"/>
      <c r="E183" s="38"/>
      <c r="F183" s="38"/>
      <c r="G183" s="284">
        <f t="shared" si="19"/>
        <v>0</v>
      </c>
      <c r="H183" s="411"/>
      <c r="I183" s="112"/>
      <c r="J183" s="38"/>
      <c r="K183" s="38"/>
      <c r="L183" s="38"/>
      <c r="M183" s="38"/>
      <c r="N183" s="38"/>
      <c r="O183" s="88"/>
    </row>
    <row r="184" spans="1:15">
      <c r="A184" s="1891"/>
      <c r="B184" s="1899"/>
      <c r="C184" s="110">
        <v>2020</v>
      </c>
      <c r="D184" s="37"/>
      <c r="E184" s="38"/>
      <c r="F184" s="38"/>
      <c r="G184" s="284">
        <f t="shared" si="19"/>
        <v>0</v>
      </c>
      <c r="H184" s="411"/>
      <c r="I184" s="112"/>
      <c r="J184" s="38"/>
      <c r="K184" s="38"/>
      <c r="L184" s="38"/>
      <c r="M184" s="38"/>
      <c r="N184" s="38"/>
      <c r="O184" s="88"/>
    </row>
    <row r="185" spans="1:15" ht="35.450000000000003" customHeight="1" thickBot="1">
      <c r="A185" s="1893"/>
      <c r="B185" s="1900"/>
      <c r="C185" s="113" t="s">
        <v>13</v>
      </c>
      <c r="D185" s="139">
        <f>SUM(D178:D184)</f>
        <v>20</v>
      </c>
      <c r="E185" s="116">
        <f>SUM(E178:E184)</f>
        <v>1</v>
      </c>
      <c r="F185" s="116">
        <f>SUM(F178:F184)</f>
        <v>0</v>
      </c>
      <c r="G185" s="220">
        <f t="shared" ref="G185:O185" si="20">SUM(G178:G184)</f>
        <v>21</v>
      </c>
      <c r="H185" s="285">
        <f t="shared" si="20"/>
        <v>22</v>
      </c>
      <c r="I185" s="115">
        <f t="shared" si="20"/>
        <v>9</v>
      </c>
      <c r="J185" s="116">
        <f t="shared" si="20"/>
        <v>0</v>
      </c>
      <c r="K185" s="116">
        <f t="shared" si="20"/>
        <v>0</v>
      </c>
      <c r="L185" s="116">
        <f t="shared" si="20"/>
        <v>0</v>
      </c>
      <c r="M185" s="116">
        <f t="shared" si="20"/>
        <v>0</v>
      </c>
      <c r="N185" s="116">
        <f t="shared" si="20"/>
        <v>0</v>
      </c>
      <c r="O185" s="117">
        <f t="shared" si="20"/>
        <v>12</v>
      </c>
    </row>
    <row r="186" spans="1:15" ht="33" customHeight="1" thickBot="1"/>
    <row r="187" spans="1:15" ht="19.5" customHeight="1">
      <c r="A187" s="1861" t="s">
        <v>137</v>
      </c>
      <c r="B187" s="2037" t="s">
        <v>182</v>
      </c>
      <c r="C187" s="1865" t="s">
        <v>9</v>
      </c>
      <c r="D187" s="1867" t="s">
        <v>138</v>
      </c>
      <c r="E187" s="2038"/>
      <c r="F187" s="2038"/>
      <c r="G187" s="1869"/>
      <c r="H187" s="1870"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2624" t="s">
        <v>489</v>
      </c>
      <c r="B189" s="1977"/>
      <c r="C189" s="290">
        <v>2014</v>
      </c>
      <c r="D189" s="133"/>
      <c r="E189" s="109"/>
      <c r="F189" s="109"/>
      <c r="G189" s="291">
        <f>SUM(D189:F189)</f>
        <v>0</v>
      </c>
      <c r="H189" s="108"/>
      <c r="I189" s="109"/>
      <c r="J189" s="109"/>
      <c r="K189" s="109"/>
      <c r="L189" s="134"/>
    </row>
    <row r="190" spans="1:15">
      <c r="A190" s="1978"/>
      <c r="B190" s="1855"/>
      <c r="C190" s="73">
        <v>2015</v>
      </c>
      <c r="D190" s="37"/>
      <c r="E190" s="38"/>
      <c r="F190" s="38"/>
      <c r="G190" s="291">
        <f t="shared" ref="G190:G195" si="21">SUM(D190:F190)</f>
        <v>0</v>
      </c>
      <c r="H190" s="112"/>
      <c r="I190" s="38"/>
      <c r="J190" s="38"/>
      <c r="K190" s="38"/>
      <c r="L190" s="88"/>
    </row>
    <row r="191" spans="1:15">
      <c r="A191" s="1978"/>
      <c r="B191" s="1855"/>
      <c r="C191" s="73">
        <v>2016</v>
      </c>
      <c r="D191" s="37">
        <v>388</v>
      </c>
      <c r="E191" s="38"/>
      <c r="F191" s="38"/>
      <c r="G191" s="291">
        <f t="shared" si="21"/>
        <v>388</v>
      </c>
      <c r="H191" s="112"/>
      <c r="I191" s="38"/>
      <c r="J191" s="38">
        <v>100</v>
      </c>
      <c r="K191" s="38"/>
      <c r="L191" s="88">
        <v>288</v>
      </c>
    </row>
    <row r="192" spans="1:15">
      <c r="A192" s="1978"/>
      <c r="B192" s="1855"/>
      <c r="C192" s="73">
        <v>2017</v>
      </c>
      <c r="D192" s="37">
        <v>30</v>
      </c>
      <c r="E192" s="38">
        <v>30</v>
      </c>
      <c r="F192" s="38"/>
      <c r="G192" s="291">
        <f t="shared" si="21"/>
        <v>60</v>
      </c>
      <c r="H192" s="112"/>
      <c r="I192" s="38"/>
      <c r="J192" s="38">
        <v>20</v>
      </c>
      <c r="K192" s="38"/>
      <c r="L192" s="88">
        <v>40</v>
      </c>
    </row>
    <row r="193" spans="1:14">
      <c r="A193" s="1978"/>
      <c r="B193" s="1855"/>
      <c r="C193" s="73">
        <v>2018</v>
      </c>
      <c r="D193" s="37"/>
      <c r="E193" s="38"/>
      <c r="F193" s="38"/>
      <c r="G193" s="291">
        <f t="shared" si="21"/>
        <v>0</v>
      </c>
      <c r="H193" s="112"/>
      <c r="I193" s="38"/>
      <c r="J193" s="38"/>
      <c r="K193" s="38"/>
      <c r="L193" s="88"/>
    </row>
    <row r="194" spans="1:14">
      <c r="A194" s="1978"/>
      <c r="B194" s="1855"/>
      <c r="C194" s="73">
        <v>2019</v>
      </c>
      <c r="D194" s="37"/>
      <c r="E194" s="38"/>
      <c r="F194" s="38"/>
      <c r="G194" s="291">
        <f t="shared" si="21"/>
        <v>0</v>
      </c>
      <c r="H194" s="112"/>
      <c r="I194" s="38"/>
      <c r="J194" s="38"/>
      <c r="K194" s="38"/>
      <c r="L194" s="88"/>
    </row>
    <row r="195" spans="1:14">
      <c r="A195" s="1978"/>
      <c r="B195" s="1855"/>
      <c r="C195" s="73">
        <v>2020</v>
      </c>
      <c r="D195" s="37"/>
      <c r="E195" s="38"/>
      <c r="F195" s="38"/>
      <c r="G195" s="291">
        <f t="shared" si="21"/>
        <v>0</v>
      </c>
      <c r="H195" s="112"/>
      <c r="I195" s="38"/>
      <c r="J195" s="38"/>
      <c r="K195" s="38"/>
      <c r="L195" s="88"/>
    </row>
    <row r="196" spans="1:14" ht="63" customHeight="1" thickBot="1">
      <c r="A196" s="1979"/>
      <c r="B196" s="1857"/>
      <c r="C196" s="136" t="s">
        <v>13</v>
      </c>
      <c r="D196" s="139">
        <f t="shared" ref="D196:L196" si="22">SUM(D189:D195)</f>
        <v>418</v>
      </c>
      <c r="E196" s="116">
        <f t="shared" si="22"/>
        <v>30</v>
      </c>
      <c r="F196" s="116">
        <f t="shared" si="22"/>
        <v>0</v>
      </c>
      <c r="G196" s="292">
        <f t="shared" si="22"/>
        <v>448</v>
      </c>
      <c r="H196" s="115">
        <f t="shared" si="22"/>
        <v>0</v>
      </c>
      <c r="I196" s="116">
        <f t="shared" si="22"/>
        <v>0</v>
      </c>
      <c r="J196" s="116">
        <f t="shared" si="22"/>
        <v>120</v>
      </c>
      <c r="K196" s="116">
        <f t="shared" si="22"/>
        <v>0</v>
      </c>
      <c r="L196" s="117">
        <f t="shared" si="22"/>
        <v>328</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569" t="s">
        <v>150</v>
      </c>
      <c r="B201" s="417" t="s">
        <v>182</v>
      </c>
      <c r="C201" s="298" t="s">
        <v>9</v>
      </c>
      <c r="D201" s="299" t="s">
        <v>151</v>
      </c>
      <c r="E201" s="300" t="s">
        <v>152</v>
      </c>
      <c r="F201" s="300" t="s">
        <v>153</v>
      </c>
      <c r="G201" s="298" t="s">
        <v>154</v>
      </c>
      <c r="H201" s="570" t="s">
        <v>155</v>
      </c>
      <c r="I201" s="302" t="s">
        <v>156</v>
      </c>
      <c r="J201" s="303" t="s">
        <v>157</v>
      </c>
      <c r="K201" s="300" t="s">
        <v>158</v>
      </c>
      <c r="L201" s="304" t="s">
        <v>159</v>
      </c>
    </row>
    <row r="202" spans="1:14" ht="15" customHeight="1">
      <c r="A202" s="1854"/>
      <c r="B202" s="1855"/>
      <c r="C202" s="72">
        <v>2014</v>
      </c>
      <c r="D202" s="30"/>
      <c r="E202" s="31"/>
      <c r="F202" s="31"/>
      <c r="G202" s="29"/>
      <c r="H202" s="305"/>
      <c r="I202" s="306"/>
      <c r="J202" s="307"/>
      <c r="K202" s="31"/>
      <c r="L202" s="34"/>
    </row>
    <row r="203" spans="1:14">
      <c r="A203" s="1854"/>
      <c r="B203" s="1855"/>
      <c r="C203" s="73">
        <v>2015</v>
      </c>
      <c r="D203" s="37"/>
      <c r="E203" s="38"/>
      <c r="F203" s="38"/>
      <c r="G203" s="36"/>
      <c r="H203" s="308"/>
      <c r="I203" s="309"/>
      <c r="J203" s="310"/>
      <c r="K203" s="38"/>
      <c r="L203" s="88"/>
    </row>
    <row r="204" spans="1:14">
      <c r="A204" s="1854"/>
      <c r="B204" s="1855"/>
      <c r="C204" s="73">
        <v>2016</v>
      </c>
      <c r="D204" s="37"/>
      <c r="E204" s="38"/>
      <c r="F204" s="38"/>
      <c r="G204" s="36"/>
      <c r="H204" s="308"/>
      <c r="I204" s="309"/>
      <c r="J204" s="310"/>
      <c r="K204" s="38"/>
      <c r="L204" s="88"/>
    </row>
    <row r="205" spans="1:14">
      <c r="A205" s="1854"/>
      <c r="B205" s="1855"/>
      <c r="C205" s="73">
        <v>2017</v>
      </c>
      <c r="D205" s="37"/>
      <c r="E205" s="38"/>
      <c r="F205" s="38"/>
      <c r="G205" s="36"/>
      <c r="H205" s="308"/>
      <c r="I205" s="309"/>
      <c r="J205" s="310"/>
      <c r="K205" s="38"/>
      <c r="L205" s="88"/>
    </row>
    <row r="206" spans="1:14">
      <c r="A206" s="1854"/>
      <c r="B206" s="1855"/>
      <c r="C206" s="73">
        <v>2018</v>
      </c>
      <c r="D206" s="37"/>
      <c r="E206" s="38"/>
      <c r="F206" s="38"/>
      <c r="G206" s="36"/>
      <c r="H206" s="308"/>
      <c r="I206" s="309"/>
      <c r="J206" s="310"/>
      <c r="K206" s="38"/>
      <c r="L206" s="88"/>
    </row>
    <row r="207" spans="1:14">
      <c r="A207" s="1854"/>
      <c r="B207" s="1855"/>
      <c r="C207" s="73">
        <v>2019</v>
      </c>
      <c r="D207" s="37"/>
      <c r="E207" s="38"/>
      <c r="F207" s="38"/>
      <c r="G207" s="36"/>
      <c r="H207" s="308"/>
      <c r="I207" s="309"/>
      <c r="J207" s="310"/>
      <c r="K207" s="38"/>
      <c r="L207" s="88"/>
    </row>
    <row r="208" spans="1:14">
      <c r="A208" s="1854"/>
      <c r="B208" s="1855"/>
      <c r="C208" s="73">
        <v>2020</v>
      </c>
      <c r="D208" s="1533"/>
      <c r="E208" s="312"/>
      <c r="F208" s="312"/>
      <c r="G208" s="313"/>
      <c r="H208" s="314"/>
      <c r="I208" s="315"/>
      <c r="J208" s="316"/>
      <c r="K208" s="312"/>
      <c r="L208" s="317"/>
    </row>
    <row r="209" spans="1:12" ht="20.25" customHeight="1" thickBot="1">
      <c r="A209" s="1856"/>
      <c r="B209" s="1857"/>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0</v>
      </c>
      <c r="K209" s="139">
        <f t="shared" si="23"/>
        <v>0</v>
      </c>
      <c r="L209" s="139">
        <f t="shared" si="23"/>
        <v>0</v>
      </c>
    </row>
    <row r="211" spans="1:12" ht="15.75" thickBot="1"/>
    <row r="212" spans="1:12" ht="29.25">
      <c r="A212" s="571" t="s">
        <v>161</v>
      </c>
      <c r="B212" s="322" t="s">
        <v>162</v>
      </c>
      <c r="C212" s="323">
        <v>2014</v>
      </c>
      <c r="D212" s="324">
        <v>2015</v>
      </c>
      <c r="E212" s="324">
        <v>2016</v>
      </c>
      <c r="F212" s="324">
        <v>2017</v>
      </c>
      <c r="G212" s="324">
        <v>2018</v>
      </c>
      <c r="H212" s="324">
        <v>2019</v>
      </c>
      <c r="I212" s="325">
        <v>2020</v>
      </c>
    </row>
    <row r="213" spans="1:12" ht="15" customHeight="1">
      <c r="A213" t="s">
        <v>163</v>
      </c>
      <c r="B213" s="1973" t="s">
        <v>490</v>
      </c>
      <c r="C213" s="72"/>
      <c r="D213" s="135">
        <f>SUM(D214:D216)</f>
        <v>10208</v>
      </c>
      <c r="E213" s="135">
        <v>115139.68</v>
      </c>
      <c r="F213" s="135">
        <v>50328.41</v>
      </c>
      <c r="G213" s="135"/>
      <c r="H213" s="135"/>
      <c r="I213" s="326"/>
      <c r="J213">
        <f>SUM(D213:I213)</f>
        <v>175676.09</v>
      </c>
    </row>
    <row r="214" spans="1:12">
      <c r="A214" t="s">
        <v>164</v>
      </c>
      <c r="B214" s="1974"/>
      <c r="C214" s="72"/>
      <c r="D214" s="135">
        <v>750</v>
      </c>
      <c r="E214" s="135">
        <v>115139.68</v>
      </c>
      <c r="F214" s="135">
        <v>50328.41</v>
      </c>
      <c r="G214" s="135"/>
      <c r="H214" s="135"/>
      <c r="I214" s="326"/>
    </row>
    <row r="215" spans="1:12">
      <c r="A215" t="s">
        <v>165</v>
      </c>
      <c r="B215" s="1974"/>
      <c r="C215" s="72"/>
      <c r="D215" s="135"/>
      <c r="E215" s="135"/>
      <c r="F215" s="135"/>
      <c r="G215" s="135"/>
      <c r="H215" s="135"/>
      <c r="I215" s="326"/>
    </row>
    <row r="216" spans="1:12">
      <c r="A216" t="s">
        <v>166</v>
      </c>
      <c r="B216" s="1974"/>
      <c r="C216" s="72"/>
      <c r="D216" s="135">
        <v>9458</v>
      </c>
      <c r="E216" s="135"/>
      <c r="F216" s="135"/>
      <c r="G216" s="135"/>
      <c r="H216" s="135"/>
      <c r="I216" s="326"/>
    </row>
    <row r="217" spans="1:12">
      <c r="A217" t="s">
        <v>167</v>
      </c>
      <c r="B217" s="1974"/>
      <c r="C217" s="72"/>
      <c r="D217" s="135"/>
      <c r="E217" s="135"/>
      <c r="F217" s="135"/>
      <c r="G217" s="135"/>
      <c r="H217" s="135"/>
      <c r="I217" s="326"/>
    </row>
    <row r="218" spans="1:12" ht="30">
      <c r="A218" s="56" t="s">
        <v>168</v>
      </c>
      <c r="B218" s="1974"/>
      <c r="C218" s="72"/>
      <c r="D218" s="135">
        <v>98758.03</v>
      </c>
      <c r="E218" s="135">
        <v>114195.07</v>
      </c>
      <c r="F218" s="439">
        <v>93268.12</v>
      </c>
      <c r="G218" s="135"/>
      <c r="H218" s="135"/>
      <c r="I218" s="326"/>
    </row>
    <row r="219" spans="1:12" ht="50.25" customHeight="1" thickBot="1">
      <c r="A219" s="1532"/>
      <c r="B219" s="1975"/>
      <c r="C219" s="42" t="s">
        <v>13</v>
      </c>
      <c r="D219" s="333">
        <f>SUM(D214:D218)</f>
        <v>108966.03</v>
      </c>
      <c r="E219" s="333">
        <f t="shared" ref="E219:I219" si="24">SUM(E214:E218)</f>
        <v>229334.75</v>
      </c>
      <c r="F219" s="333">
        <f t="shared" si="24"/>
        <v>143596.53</v>
      </c>
      <c r="G219" s="333">
        <f t="shared" si="24"/>
        <v>0</v>
      </c>
      <c r="H219" s="333">
        <f t="shared" si="24"/>
        <v>0</v>
      </c>
      <c r="I219" s="333">
        <f t="shared" si="24"/>
        <v>0</v>
      </c>
    </row>
    <row r="227" spans="1:1">
      <c r="A227" s="56"/>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6"/>
  <sheetViews>
    <sheetView topLeftCell="D10" zoomScale="80" zoomScaleNormal="80" workbookViewId="0">
      <selection activeCell="H18" sqref="H18:O18"/>
    </sheetView>
  </sheetViews>
  <sheetFormatPr defaultColWidth="8.85546875" defaultRowHeight="15"/>
  <cols>
    <col min="1" max="1" width="90.5703125" style="7"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467" t="s">
        <v>0</v>
      </c>
      <c r="B1" s="1943" t="s">
        <v>215</v>
      </c>
      <c r="C1" s="1944"/>
      <c r="D1" s="1944"/>
      <c r="E1" s="1944"/>
      <c r="F1" s="1944"/>
    </row>
    <row r="2" spans="1:25" s="1" customFormat="1" ht="20.100000000000001" customHeight="1" thickBot="1">
      <c r="A2" s="4"/>
    </row>
    <row r="3" spans="1:25" s="4" customFormat="1" ht="20.100000000000001" customHeight="1">
      <c r="A3" s="2" t="s">
        <v>2</v>
      </c>
      <c r="B3" s="3"/>
      <c r="C3" s="3"/>
      <c r="D3" s="3"/>
      <c r="E3" s="3"/>
      <c r="F3" s="1945"/>
      <c r="G3" s="1945"/>
      <c r="H3" s="1945"/>
      <c r="I3" s="1945"/>
      <c r="J3" s="1945"/>
      <c r="K3" s="1945"/>
      <c r="L3" s="1945"/>
      <c r="M3" s="1945"/>
      <c r="N3" s="1945"/>
      <c r="O3" s="1946"/>
    </row>
    <row r="4" spans="1:25" s="4" customFormat="1" ht="20.100000000000001" customHeight="1">
      <c r="A4" s="1947" t="s">
        <v>170</v>
      </c>
      <c r="B4" s="1948"/>
      <c r="C4" s="1948"/>
      <c r="D4" s="1948"/>
      <c r="E4" s="1948"/>
      <c r="F4" s="1948"/>
      <c r="G4" s="1948"/>
      <c r="H4" s="1948"/>
      <c r="I4" s="1948"/>
      <c r="J4" s="1948"/>
      <c r="K4" s="1948"/>
      <c r="L4" s="1948"/>
      <c r="M4" s="1948"/>
      <c r="N4" s="1948"/>
      <c r="O4" s="1949"/>
    </row>
    <row r="5" spans="1:25" s="4" customFormat="1" ht="20.100000000000001" customHeight="1">
      <c r="A5" s="1947"/>
      <c r="B5" s="1948"/>
      <c r="C5" s="1948"/>
      <c r="D5" s="1948"/>
      <c r="E5" s="1948"/>
      <c r="F5" s="1948"/>
      <c r="G5" s="1948"/>
      <c r="H5" s="1948"/>
      <c r="I5" s="1948"/>
      <c r="J5" s="1948"/>
      <c r="K5" s="1948"/>
      <c r="L5" s="1948"/>
      <c r="M5" s="1948"/>
      <c r="N5" s="1948"/>
      <c r="O5" s="1949"/>
    </row>
    <row r="6" spans="1:25" s="4" customFormat="1" ht="20.100000000000001" customHeight="1">
      <c r="A6" s="1947"/>
      <c r="B6" s="1948"/>
      <c r="C6" s="1948"/>
      <c r="D6" s="1948"/>
      <c r="E6" s="1948"/>
      <c r="F6" s="1948"/>
      <c r="G6" s="1948"/>
      <c r="H6" s="1948"/>
      <c r="I6" s="1948"/>
      <c r="J6" s="1948"/>
      <c r="K6" s="1948"/>
      <c r="L6" s="1948"/>
      <c r="M6" s="1948"/>
      <c r="N6" s="1948"/>
      <c r="O6" s="1949"/>
    </row>
    <row r="7" spans="1:25" s="4" customFormat="1" ht="20.100000000000001" customHeight="1">
      <c r="A7" s="1947"/>
      <c r="B7" s="1948"/>
      <c r="C7" s="1948"/>
      <c r="D7" s="1948"/>
      <c r="E7" s="1948"/>
      <c r="F7" s="1948"/>
      <c r="G7" s="1948"/>
      <c r="H7" s="1948"/>
      <c r="I7" s="1948"/>
      <c r="J7" s="1948"/>
      <c r="K7" s="1948"/>
      <c r="L7" s="1948"/>
      <c r="M7" s="1948"/>
      <c r="N7" s="1948"/>
      <c r="O7" s="1949"/>
    </row>
    <row r="8" spans="1:25" s="4" customFormat="1" ht="20.100000000000001" customHeight="1">
      <c r="A8" s="1947"/>
      <c r="B8" s="1948"/>
      <c r="C8" s="1948"/>
      <c r="D8" s="1948"/>
      <c r="E8" s="1948"/>
      <c r="F8" s="1948"/>
      <c r="G8" s="1948"/>
      <c r="H8" s="1948"/>
      <c r="I8" s="1948"/>
      <c r="J8" s="1948"/>
      <c r="K8" s="1948"/>
      <c r="L8" s="1948"/>
      <c r="M8" s="1948"/>
      <c r="N8" s="1948"/>
      <c r="O8" s="1949"/>
    </row>
    <row r="9" spans="1:25" s="4" customFormat="1" ht="20.100000000000001" customHeight="1">
      <c r="A9" s="1947"/>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c r="A11" s="4"/>
    </row>
    <row r="13" spans="1:25" ht="21">
      <c r="A13" s="468"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469"/>
      <c r="B15" s="9"/>
      <c r="C15" s="10"/>
      <c r="D15" s="1953" t="s">
        <v>5</v>
      </c>
      <c r="E15" s="1954"/>
      <c r="F15" s="1954"/>
      <c r="G15" s="1954"/>
      <c r="H15" s="11"/>
      <c r="I15" s="12" t="s">
        <v>6</v>
      </c>
      <c r="J15" s="13"/>
      <c r="K15" s="13"/>
      <c r="L15" s="13"/>
      <c r="M15" s="13"/>
      <c r="N15" s="13"/>
      <c r="O15" s="14"/>
      <c r="P15" s="15"/>
      <c r="Q15" s="16"/>
      <c r="R15" s="17"/>
      <c r="S15" s="17"/>
      <c r="T15" s="17"/>
      <c r="U15" s="17"/>
      <c r="V15" s="17"/>
      <c r="W15" s="15"/>
      <c r="X15" s="15"/>
      <c r="Y15" s="16"/>
    </row>
    <row r="16" spans="1:25" s="56" customFormat="1" ht="129" customHeight="1">
      <c r="A16" s="1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1998" t="s">
        <v>216</v>
      </c>
      <c r="B17" s="1998" t="s">
        <v>217</v>
      </c>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1998"/>
      <c r="B18" s="1998"/>
      <c r="C18" s="36">
        <v>2015</v>
      </c>
      <c r="D18" s="37">
        <v>11</v>
      </c>
      <c r="E18" s="38"/>
      <c r="F18" s="38"/>
      <c r="G18" s="32">
        <f>SUM(D18:F18)</f>
        <v>11</v>
      </c>
      <c r="H18" s="39">
        <v>2</v>
      </c>
      <c r="I18" s="38">
        <v>3</v>
      </c>
      <c r="J18" s="38"/>
      <c r="K18" s="38">
        <v>1</v>
      </c>
      <c r="L18" s="38">
        <v>2</v>
      </c>
      <c r="M18" s="38">
        <v>2</v>
      </c>
      <c r="N18" s="38"/>
      <c r="O18" s="40">
        <v>1</v>
      </c>
      <c r="P18" s="35"/>
      <c r="Q18" s="35"/>
      <c r="R18" s="35"/>
      <c r="S18" s="35"/>
      <c r="T18" s="35"/>
      <c r="U18" s="35"/>
      <c r="V18" s="35"/>
      <c r="W18" s="35"/>
      <c r="X18" s="35"/>
      <c r="Y18" s="35"/>
    </row>
    <row r="19" spans="1:25">
      <c r="A19" s="1998"/>
      <c r="B19" s="1998"/>
      <c r="C19" s="36">
        <v>2016</v>
      </c>
      <c r="D19" s="37">
        <v>23</v>
      </c>
      <c r="E19" s="38"/>
      <c r="F19" s="38">
        <v>1</v>
      </c>
      <c r="G19" s="32">
        <f t="shared" si="0"/>
        <v>24</v>
      </c>
      <c r="H19" s="39"/>
      <c r="I19" s="38">
        <v>7</v>
      </c>
      <c r="J19" s="38"/>
      <c r="K19" s="38">
        <v>14</v>
      </c>
      <c r="L19" s="38"/>
      <c r="M19" s="38">
        <v>2</v>
      </c>
      <c r="N19" s="38"/>
      <c r="O19" s="40">
        <v>1</v>
      </c>
      <c r="P19" s="35"/>
      <c r="Q19" s="35"/>
      <c r="R19" s="35"/>
      <c r="S19" s="35"/>
      <c r="T19" s="35"/>
      <c r="U19" s="35"/>
      <c r="V19" s="35"/>
      <c r="W19" s="35"/>
      <c r="X19" s="35"/>
      <c r="Y19" s="35"/>
    </row>
    <row r="20" spans="1:25">
      <c r="A20" s="1998"/>
      <c r="B20" s="1998"/>
      <c r="C20" s="36">
        <v>2017</v>
      </c>
      <c r="D20" s="37">
        <v>22</v>
      </c>
      <c r="E20" s="38">
        <v>3</v>
      </c>
      <c r="F20" s="38">
        <v>2</v>
      </c>
      <c r="G20" s="32">
        <f t="shared" si="0"/>
        <v>27</v>
      </c>
      <c r="H20" s="39">
        <v>1</v>
      </c>
      <c r="I20" s="38">
        <v>12</v>
      </c>
      <c r="J20" s="38">
        <v>3</v>
      </c>
      <c r="K20" s="38">
        <v>7</v>
      </c>
      <c r="L20" s="38">
        <v>4</v>
      </c>
      <c r="M20" s="38"/>
      <c r="N20" s="38"/>
      <c r="O20" s="40"/>
      <c r="P20" s="35"/>
      <c r="Q20" s="35"/>
      <c r="R20" s="35"/>
      <c r="S20" s="35"/>
      <c r="T20" s="35"/>
      <c r="U20" s="35"/>
      <c r="V20" s="35"/>
      <c r="W20" s="35"/>
      <c r="X20" s="35"/>
      <c r="Y20" s="35"/>
    </row>
    <row r="21" spans="1:25">
      <c r="A21" s="1998"/>
      <c r="B21" s="1998"/>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1998"/>
      <c r="B22" s="1998"/>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1998"/>
      <c r="B23" s="1998"/>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138" customHeight="1" thickBot="1">
      <c r="A24" s="1999"/>
      <c r="B24" s="1999"/>
      <c r="C24" s="42" t="s">
        <v>13</v>
      </c>
      <c r="D24" s="43">
        <f>SUM(D17:D23)</f>
        <v>56</v>
      </c>
      <c r="E24" s="44">
        <f>SUM(E17:E23)</f>
        <v>3</v>
      </c>
      <c r="F24" s="44">
        <f>SUM(F17:F23)</f>
        <v>3</v>
      </c>
      <c r="G24" s="45">
        <f>SUM(D24:F24)</f>
        <v>62</v>
      </c>
      <c r="H24" s="46">
        <f>SUM(H17:H23)</f>
        <v>3</v>
      </c>
      <c r="I24" s="47">
        <f>SUM(I17:I23)</f>
        <v>22</v>
      </c>
      <c r="J24" s="47">
        <f t="shared" ref="J24:N24" si="1">SUM(J17:J23)</f>
        <v>3</v>
      </c>
      <c r="K24" s="47">
        <f t="shared" si="1"/>
        <v>22</v>
      </c>
      <c r="L24" s="47">
        <f t="shared" si="1"/>
        <v>6</v>
      </c>
      <c r="M24" s="47">
        <f t="shared" si="1"/>
        <v>4</v>
      </c>
      <c r="N24" s="47">
        <f t="shared" si="1"/>
        <v>0</v>
      </c>
      <c r="O24" s="48">
        <f>SUM(O17:O23)</f>
        <v>2</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469"/>
      <c r="B26" s="9"/>
      <c r="C26" s="50"/>
      <c r="D26" s="1959" t="s">
        <v>5</v>
      </c>
      <c r="E26" s="1960"/>
      <c r="F26" s="1960"/>
      <c r="G26" s="1961"/>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1998" t="s">
        <v>218</v>
      </c>
      <c r="B28" s="1998" t="s">
        <v>219</v>
      </c>
      <c r="C28" s="57">
        <v>2014</v>
      </c>
      <c r="D28" s="33"/>
      <c r="E28" s="31"/>
      <c r="F28" s="31"/>
      <c r="G28" s="58">
        <f>SUM(D28:F28)</f>
        <v>0</v>
      </c>
      <c r="H28" s="35"/>
      <c r="I28" s="35"/>
      <c r="J28" s="35"/>
      <c r="K28" s="35"/>
      <c r="L28" s="35"/>
      <c r="M28" s="35"/>
      <c r="N28" s="35"/>
      <c r="O28" s="35"/>
      <c r="P28" s="35"/>
      <c r="Q28" s="7"/>
    </row>
    <row r="29" spans="1:25">
      <c r="A29" s="1998"/>
      <c r="B29" s="1998"/>
      <c r="C29" s="59">
        <v>2015</v>
      </c>
      <c r="D29" s="39">
        <v>1583</v>
      </c>
      <c r="E29" s="38"/>
      <c r="F29" s="38"/>
      <c r="G29" s="58">
        <f t="shared" ref="G29:G35" si="2">SUM(D29:F29)</f>
        <v>1583</v>
      </c>
      <c r="H29" s="35"/>
      <c r="I29" s="35"/>
      <c r="J29" s="35"/>
      <c r="K29" s="35"/>
      <c r="L29" s="35"/>
      <c r="M29" s="35"/>
      <c r="N29" s="35"/>
      <c r="O29" s="35"/>
      <c r="P29" s="35"/>
      <c r="Q29" s="7"/>
    </row>
    <row r="30" spans="1:25">
      <c r="A30" s="1998"/>
      <c r="B30" s="1998"/>
      <c r="C30" s="59">
        <v>2016</v>
      </c>
      <c r="D30" s="39">
        <v>4198</v>
      </c>
      <c r="E30" s="38"/>
      <c r="F30" s="38">
        <v>100</v>
      </c>
      <c r="G30" s="58">
        <f t="shared" si="2"/>
        <v>4298</v>
      </c>
      <c r="H30" s="35"/>
      <c r="I30" s="35"/>
      <c r="J30" s="35"/>
      <c r="K30" s="35"/>
      <c r="L30" s="35"/>
      <c r="M30" s="35"/>
      <c r="N30" s="35"/>
      <c r="O30" s="35"/>
      <c r="P30" s="35"/>
      <c r="Q30" s="7"/>
    </row>
    <row r="31" spans="1:25">
      <c r="A31" s="1998"/>
      <c r="B31" s="1998"/>
      <c r="C31" s="59">
        <v>2017</v>
      </c>
      <c r="D31" s="39">
        <v>2210</v>
      </c>
      <c r="E31" s="38">
        <v>72000</v>
      </c>
      <c r="F31" s="38">
        <v>53</v>
      </c>
      <c r="G31" s="58">
        <f t="shared" si="2"/>
        <v>74263</v>
      </c>
      <c r="H31" s="35"/>
      <c r="I31" s="35"/>
      <c r="J31" s="35"/>
      <c r="K31" s="35"/>
      <c r="L31" s="35"/>
      <c r="M31" s="35"/>
      <c r="N31" s="35"/>
      <c r="O31" s="35"/>
      <c r="P31" s="35"/>
      <c r="Q31" s="7"/>
    </row>
    <row r="32" spans="1:25">
      <c r="A32" s="1998"/>
      <c r="B32" s="1998"/>
      <c r="C32" s="59">
        <v>2018</v>
      </c>
      <c r="D32" s="39"/>
      <c r="E32" s="38"/>
      <c r="F32" s="38"/>
      <c r="G32" s="58">
        <f>SUM(D32:F32)</f>
        <v>0</v>
      </c>
      <c r="H32" s="35"/>
      <c r="I32" s="35"/>
      <c r="J32" s="35"/>
      <c r="K32" s="35"/>
      <c r="L32" s="35"/>
      <c r="M32" s="35"/>
      <c r="N32" s="35"/>
      <c r="O32" s="35"/>
      <c r="P32" s="35"/>
      <c r="Q32" s="7"/>
    </row>
    <row r="33" spans="1:17">
      <c r="A33" s="1998"/>
      <c r="B33" s="1998"/>
      <c r="C33" s="60">
        <v>2019</v>
      </c>
      <c r="D33" s="39"/>
      <c r="E33" s="38"/>
      <c r="F33" s="38"/>
      <c r="G33" s="58">
        <f t="shared" si="2"/>
        <v>0</v>
      </c>
      <c r="H33" s="35"/>
      <c r="I33" s="35"/>
      <c r="J33" s="35"/>
      <c r="K33" s="35"/>
      <c r="L33" s="35"/>
      <c r="M33" s="35"/>
      <c r="N33" s="35"/>
      <c r="O33" s="35"/>
      <c r="P33" s="35"/>
      <c r="Q33" s="7"/>
    </row>
    <row r="34" spans="1:17">
      <c r="A34" s="1998"/>
      <c r="B34" s="1998"/>
      <c r="C34" s="59">
        <v>2020</v>
      </c>
      <c r="D34" s="39"/>
      <c r="E34" s="38"/>
      <c r="F34" s="38"/>
      <c r="G34" s="58">
        <f t="shared" si="2"/>
        <v>0</v>
      </c>
      <c r="H34" s="35"/>
      <c r="I34" s="35"/>
      <c r="J34" s="35"/>
      <c r="K34" s="35"/>
      <c r="L34" s="35"/>
      <c r="M34" s="35"/>
      <c r="N34" s="35"/>
      <c r="O34" s="35"/>
      <c r="P34" s="35"/>
      <c r="Q34" s="7"/>
    </row>
    <row r="35" spans="1:17" ht="141.75" customHeight="1" thickBot="1">
      <c r="A35" s="1999"/>
      <c r="B35" s="1999"/>
      <c r="C35" s="61" t="s">
        <v>13</v>
      </c>
      <c r="D35" s="46">
        <f>SUM(D28:D34)</f>
        <v>7991</v>
      </c>
      <c r="E35" s="44">
        <f>SUM(E28:E34)</f>
        <v>72000</v>
      </c>
      <c r="F35" s="44">
        <f>SUM(F28:F34)</f>
        <v>153</v>
      </c>
      <c r="G35" s="48">
        <f t="shared" si="2"/>
        <v>80144</v>
      </c>
      <c r="H35" s="35"/>
      <c r="I35" s="35"/>
      <c r="J35" s="35"/>
      <c r="K35" s="35"/>
      <c r="L35" s="35"/>
      <c r="M35" s="35"/>
      <c r="N35" s="35"/>
      <c r="O35" s="35"/>
      <c r="P35" s="35"/>
      <c r="Q35" s="7"/>
    </row>
    <row r="36" spans="1:17">
      <c r="A36" s="445"/>
      <c r="B36" s="62"/>
      <c r="C36" s="49"/>
      <c r="H36" s="7"/>
      <c r="I36" s="7"/>
      <c r="J36" s="7"/>
      <c r="K36" s="7"/>
      <c r="L36" s="7"/>
      <c r="M36" s="7"/>
      <c r="N36" s="7"/>
      <c r="O36" s="7"/>
      <c r="P36" s="7"/>
      <c r="Q36" s="7"/>
    </row>
    <row r="37" spans="1:17" ht="21" customHeight="1">
      <c r="A37" s="470" t="s">
        <v>25</v>
      </c>
      <c r="B37" s="63"/>
      <c r="C37" s="64"/>
      <c r="D37" s="64"/>
      <c r="E37" s="64"/>
      <c r="F37" s="35"/>
      <c r="G37" s="35"/>
      <c r="H37" s="35"/>
      <c r="I37" s="65"/>
      <c r="J37" s="65"/>
      <c r="K37" s="65"/>
    </row>
    <row r="38" spans="1:17" ht="12.75" customHeight="1" thickBot="1">
      <c r="G38" s="35"/>
      <c r="H38" s="35"/>
    </row>
    <row r="39" spans="1:17" ht="88.5" customHeight="1">
      <c r="A39" s="471" t="s">
        <v>26</v>
      </c>
      <c r="B39" s="372" t="s">
        <v>171</v>
      </c>
      <c r="C39" s="68" t="s">
        <v>9</v>
      </c>
      <c r="D39" s="69" t="s">
        <v>28</v>
      </c>
      <c r="E39" s="70" t="s">
        <v>29</v>
      </c>
      <c r="F39" s="71"/>
      <c r="G39" s="28"/>
      <c r="H39" s="28"/>
    </row>
    <row r="40" spans="1:17">
      <c r="A40" s="2000"/>
      <c r="B40" s="2000" t="s">
        <v>220</v>
      </c>
      <c r="C40" s="72">
        <v>2014</v>
      </c>
      <c r="D40" s="30"/>
      <c r="E40" s="29"/>
      <c r="F40" s="7"/>
      <c r="G40" s="35"/>
      <c r="H40" s="35"/>
    </row>
    <row r="41" spans="1:17">
      <c r="A41" s="2000"/>
      <c r="B41" s="2000"/>
      <c r="C41" s="73">
        <v>2015</v>
      </c>
      <c r="D41" s="37">
        <v>33846</v>
      </c>
      <c r="E41" s="36">
        <v>8682</v>
      </c>
      <c r="F41" s="7"/>
      <c r="G41" s="35"/>
      <c r="H41" s="35"/>
    </row>
    <row r="42" spans="1:17">
      <c r="A42" s="2000"/>
      <c r="B42" s="2000"/>
      <c r="C42" s="73">
        <v>2016</v>
      </c>
      <c r="D42" s="37">
        <f>50289+13282</f>
        <v>63571</v>
      </c>
      <c r="E42" s="36">
        <f>19000+8297</f>
        <v>27297</v>
      </c>
      <c r="F42" s="7"/>
      <c r="G42" s="35"/>
      <c r="H42" s="35"/>
    </row>
    <row r="43" spans="1:17">
      <c r="A43" s="2000"/>
      <c r="B43" s="2000"/>
      <c r="C43" s="73">
        <v>2017</v>
      </c>
      <c r="D43" s="37">
        <v>10869</v>
      </c>
      <c r="E43" s="36">
        <v>6393</v>
      </c>
      <c r="F43" s="7"/>
      <c r="G43" s="35"/>
      <c r="H43" s="35"/>
    </row>
    <row r="44" spans="1:17">
      <c r="A44" s="2000"/>
      <c r="B44" s="2000"/>
      <c r="C44" s="73">
        <v>2018</v>
      </c>
      <c r="D44" s="37"/>
      <c r="E44" s="36"/>
      <c r="F44" s="7"/>
      <c r="G44" s="35"/>
      <c r="H44" s="35"/>
    </row>
    <row r="45" spans="1:17">
      <c r="A45" s="2000"/>
      <c r="B45" s="2000"/>
      <c r="C45" s="73">
        <v>2019</v>
      </c>
      <c r="D45" s="37"/>
      <c r="E45" s="36"/>
      <c r="F45" s="7"/>
      <c r="G45" s="35"/>
      <c r="H45" s="35"/>
    </row>
    <row r="46" spans="1:17">
      <c r="A46" s="2000"/>
      <c r="B46" s="2000"/>
      <c r="C46" s="73">
        <v>2020</v>
      </c>
      <c r="D46" s="37"/>
      <c r="E46" s="36"/>
      <c r="F46" s="7"/>
      <c r="G46" s="35"/>
      <c r="H46" s="35"/>
    </row>
    <row r="47" spans="1:17" ht="42.75" customHeight="1" thickBot="1">
      <c r="A47" s="2001"/>
      <c r="B47" s="2001"/>
      <c r="C47" s="42" t="s">
        <v>13</v>
      </c>
      <c r="D47" s="43">
        <f>SUM(D40:D46)</f>
        <v>108286</v>
      </c>
      <c r="E47" s="455">
        <f>SUM(E40:E46)</f>
        <v>42372</v>
      </c>
      <c r="F47" s="78"/>
      <c r="G47" s="35"/>
      <c r="H47" s="35"/>
    </row>
    <row r="48" spans="1:17" s="35" customFormat="1" ht="15.75" thickBot="1">
      <c r="A48" s="79"/>
      <c r="B48" s="80"/>
      <c r="C48" s="81"/>
    </row>
    <row r="49" spans="1:15" ht="83.25" customHeight="1">
      <c r="A49" s="82" t="s">
        <v>32</v>
      </c>
      <c r="B49" s="372" t="s">
        <v>171</v>
      </c>
      <c r="C49" s="84" t="s">
        <v>9</v>
      </c>
      <c r="D49" s="69" t="s">
        <v>34</v>
      </c>
      <c r="E49" s="85" t="s">
        <v>35</v>
      </c>
      <c r="F49" s="85" t="s">
        <v>36</v>
      </c>
      <c r="G49" s="85" t="s">
        <v>37</v>
      </c>
      <c r="H49" s="85" t="s">
        <v>38</v>
      </c>
      <c r="I49" s="85" t="s">
        <v>39</v>
      </c>
      <c r="J49" s="85" t="s">
        <v>40</v>
      </c>
      <c r="K49" s="86" t="s">
        <v>41</v>
      </c>
    </row>
    <row r="50" spans="1:15" ht="17.25" customHeight="1">
      <c r="A50" s="1872" t="s">
        <v>221</v>
      </c>
      <c r="B50" s="1879"/>
      <c r="C50" s="87" t="s">
        <v>43</v>
      </c>
      <c r="D50" s="30"/>
      <c r="E50" s="31"/>
      <c r="F50" s="31"/>
      <c r="G50" s="31"/>
      <c r="H50" s="31"/>
      <c r="I50" s="31"/>
      <c r="J50" s="31"/>
      <c r="K50" s="34"/>
    </row>
    <row r="51" spans="1:15" ht="15" customHeight="1">
      <c r="A51" s="1874"/>
      <c r="B51" s="1881"/>
      <c r="C51" s="73">
        <v>2014</v>
      </c>
      <c r="D51" s="37"/>
      <c r="E51" s="38"/>
      <c r="F51" s="38"/>
      <c r="G51" s="38"/>
      <c r="H51" s="38"/>
      <c r="I51" s="38"/>
      <c r="J51" s="38"/>
      <c r="K51" s="88"/>
    </row>
    <row r="52" spans="1:15">
      <c r="A52" s="1874"/>
      <c r="B52" s="1881"/>
      <c r="C52" s="73">
        <v>2015</v>
      </c>
      <c r="D52" s="37">
        <v>1</v>
      </c>
      <c r="E52" s="38"/>
      <c r="F52" s="38"/>
      <c r="G52" s="38">
        <v>1883</v>
      </c>
      <c r="H52" s="38"/>
      <c r="I52" s="38"/>
      <c r="J52" s="38">
        <v>49</v>
      </c>
      <c r="K52" s="88">
        <v>1000</v>
      </c>
    </row>
    <row r="53" spans="1:15">
      <c r="A53" s="1874"/>
      <c r="B53" s="1881"/>
      <c r="C53" s="73">
        <v>2016</v>
      </c>
      <c r="D53" s="37">
        <v>1</v>
      </c>
      <c r="E53" s="38"/>
      <c r="F53" s="38"/>
      <c r="G53" s="38">
        <v>1928</v>
      </c>
      <c r="H53" s="38"/>
      <c r="I53" s="38"/>
      <c r="J53" s="38">
        <v>113</v>
      </c>
      <c r="K53" s="88">
        <v>1981</v>
      </c>
    </row>
    <row r="54" spans="1:15">
      <c r="A54" s="1874"/>
      <c r="B54" s="1881"/>
      <c r="C54" s="73">
        <v>2017</v>
      </c>
      <c r="D54" s="37">
        <v>1</v>
      </c>
      <c r="E54" s="38"/>
      <c r="F54" s="38"/>
      <c r="G54" s="38">
        <v>1980</v>
      </c>
      <c r="H54" s="38"/>
      <c r="I54" s="38"/>
      <c r="J54" s="38">
        <v>82</v>
      </c>
      <c r="K54" s="88">
        <v>20513</v>
      </c>
    </row>
    <row r="55" spans="1:15">
      <c r="A55" s="1874"/>
      <c r="B55" s="1881"/>
      <c r="C55" s="73">
        <v>2018</v>
      </c>
      <c r="D55" s="37"/>
      <c r="E55" s="38"/>
      <c r="F55" s="38"/>
      <c r="G55" s="38"/>
      <c r="H55" s="38"/>
      <c r="I55" s="38"/>
      <c r="J55" s="38"/>
      <c r="K55" s="88"/>
    </row>
    <row r="56" spans="1:15">
      <c r="A56" s="1874"/>
      <c r="B56" s="1881"/>
      <c r="C56" s="73">
        <v>2019</v>
      </c>
      <c r="D56" s="37"/>
      <c r="E56" s="38"/>
      <c r="F56" s="38"/>
      <c r="G56" s="38"/>
      <c r="H56" s="38"/>
      <c r="I56" s="38"/>
      <c r="J56" s="38"/>
      <c r="K56" s="88"/>
    </row>
    <row r="57" spans="1:15">
      <c r="A57" s="1874"/>
      <c r="B57" s="1881"/>
      <c r="C57" s="73">
        <v>2020</v>
      </c>
      <c r="D57" s="37"/>
      <c r="E57" s="38"/>
      <c r="F57" s="38"/>
      <c r="G57" s="38"/>
      <c r="H57" s="38"/>
      <c r="I57" s="38"/>
      <c r="J57" s="38"/>
      <c r="K57" s="93"/>
    </row>
    <row r="58" spans="1:15" ht="20.25" customHeight="1" thickBot="1">
      <c r="A58" s="1876"/>
      <c r="B58" s="1883"/>
      <c r="C58" s="42" t="s">
        <v>13</v>
      </c>
      <c r="D58" s="43">
        <f>SUM(D51:D57)</f>
        <v>3</v>
      </c>
      <c r="E58" s="44">
        <f>SUM(E51:E57)</f>
        <v>0</v>
      </c>
      <c r="F58" s="44">
        <f>SUM(F51:F57)</f>
        <v>0</v>
      </c>
      <c r="G58" s="44">
        <f>SUM(G51:G57)</f>
        <v>5791</v>
      </c>
      <c r="H58" s="44">
        <f>SUM(H51:H57)</f>
        <v>0</v>
      </c>
      <c r="I58" s="44">
        <f t="shared" ref="I58" si="3">SUM(I51:I57)</f>
        <v>0</v>
      </c>
      <c r="J58" s="44">
        <f>SUM(J51:J57)</f>
        <v>244</v>
      </c>
      <c r="K58" s="48">
        <f>SUM(K50:K56)</f>
        <v>23494</v>
      </c>
    </row>
    <row r="59" spans="1:15" ht="15.75" thickBot="1"/>
    <row r="60" spans="1:15" ht="21" customHeight="1">
      <c r="A60" s="1969" t="s">
        <v>44</v>
      </c>
      <c r="B60" s="95"/>
      <c r="C60" s="1971" t="s">
        <v>9</v>
      </c>
      <c r="D60" s="1941" t="s">
        <v>45</v>
      </c>
      <c r="E60" s="96" t="s">
        <v>6</v>
      </c>
      <c r="F60" s="97"/>
      <c r="G60" s="97"/>
      <c r="H60" s="97"/>
      <c r="I60" s="97"/>
      <c r="J60" s="97"/>
      <c r="K60" s="97"/>
      <c r="L60" s="98"/>
    </row>
    <row r="61" spans="1:15" ht="115.5" customHeight="1">
      <c r="A61" s="1970"/>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1898" t="s">
        <v>222</v>
      </c>
      <c r="B62" s="1899"/>
      <c r="C62" s="106">
        <v>2014</v>
      </c>
      <c r="D62" s="107"/>
      <c r="E62" s="108"/>
      <c r="F62" s="109"/>
      <c r="G62" s="109"/>
      <c r="H62" s="109"/>
      <c r="I62" s="109"/>
      <c r="J62" s="109"/>
      <c r="K62" s="109"/>
      <c r="L62" s="34"/>
      <c r="M62" s="7"/>
      <c r="N62" s="7"/>
      <c r="O62" s="7"/>
    </row>
    <row r="63" spans="1:15">
      <c r="A63" s="1891"/>
      <c r="B63" s="1899"/>
      <c r="C63" s="110">
        <v>2015</v>
      </c>
      <c r="D63" s="111">
        <v>3</v>
      </c>
      <c r="E63" s="112"/>
      <c r="F63" s="38">
        <v>1</v>
      </c>
      <c r="G63" s="38"/>
      <c r="H63" s="38">
        <v>1</v>
      </c>
      <c r="I63" s="38"/>
      <c r="J63" s="38">
        <v>1</v>
      </c>
      <c r="K63" s="38"/>
      <c r="L63" s="88"/>
      <c r="M63" s="7"/>
      <c r="N63" s="7"/>
      <c r="O63" s="7"/>
    </row>
    <row r="64" spans="1:15">
      <c r="A64" s="1891"/>
      <c r="B64" s="1899"/>
      <c r="C64" s="110">
        <v>2016</v>
      </c>
      <c r="D64" s="111">
        <v>109</v>
      </c>
      <c r="E64" s="112"/>
      <c r="F64" s="38"/>
      <c r="G64" s="38"/>
      <c r="H64" s="38">
        <v>4</v>
      </c>
      <c r="I64" s="38"/>
      <c r="J64" s="38"/>
      <c r="K64" s="38"/>
      <c r="L64" s="88">
        <v>105</v>
      </c>
      <c r="M64" s="7"/>
      <c r="N64" s="7"/>
      <c r="O64" s="7"/>
    </row>
    <row r="65" spans="1:20">
      <c r="A65" s="1891"/>
      <c r="B65" s="1899"/>
      <c r="C65" s="110">
        <v>2017</v>
      </c>
      <c r="D65" s="111">
        <v>28</v>
      </c>
      <c r="E65" s="112">
        <v>2</v>
      </c>
      <c r="F65" s="38">
        <v>1</v>
      </c>
      <c r="G65" s="38"/>
      <c r="H65" s="38"/>
      <c r="I65" s="38"/>
      <c r="J65" s="38"/>
      <c r="K65" s="38"/>
      <c r="L65" s="88">
        <v>25</v>
      </c>
      <c r="M65" s="7"/>
      <c r="N65" s="7"/>
      <c r="O65" s="7"/>
    </row>
    <row r="66" spans="1:20">
      <c r="A66" s="1891"/>
      <c r="B66" s="1899"/>
      <c r="C66" s="110">
        <v>2018</v>
      </c>
      <c r="D66" s="111"/>
      <c r="E66" s="112"/>
      <c r="F66" s="38"/>
      <c r="G66" s="38"/>
      <c r="H66" s="38"/>
      <c r="I66" s="38"/>
      <c r="J66" s="38"/>
      <c r="K66" s="38"/>
      <c r="L66" s="88"/>
      <c r="M66" s="7"/>
      <c r="N66" s="7"/>
      <c r="O66" s="7"/>
    </row>
    <row r="67" spans="1:20" ht="17.25" customHeight="1">
      <c r="A67" s="1891"/>
      <c r="B67" s="1899"/>
      <c r="C67" s="110">
        <v>2019</v>
      </c>
      <c r="D67" s="111"/>
      <c r="E67" s="112"/>
      <c r="F67" s="38"/>
      <c r="G67" s="38"/>
      <c r="H67" s="38"/>
      <c r="I67" s="38"/>
      <c r="J67" s="38"/>
      <c r="K67" s="38"/>
      <c r="L67" s="88"/>
      <c r="M67" s="7"/>
      <c r="N67" s="7"/>
      <c r="O67" s="7"/>
    </row>
    <row r="68" spans="1:20" ht="16.5" customHeight="1">
      <c r="A68" s="1891"/>
      <c r="B68" s="1899"/>
      <c r="C68" s="110">
        <v>2020</v>
      </c>
      <c r="D68" s="111"/>
      <c r="E68" s="112"/>
      <c r="F68" s="38"/>
      <c r="G68" s="38"/>
      <c r="H68" s="38"/>
      <c r="I68" s="38"/>
      <c r="J68" s="38"/>
      <c r="K68" s="38"/>
      <c r="L68" s="88"/>
      <c r="M68" s="78"/>
      <c r="N68" s="78"/>
      <c r="O68" s="78"/>
    </row>
    <row r="69" spans="1:20" ht="18" customHeight="1" thickBot="1">
      <c r="A69" s="1980"/>
      <c r="B69" s="1900"/>
      <c r="C69" s="113" t="s">
        <v>13</v>
      </c>
      <c r="D69" s="114">
        <f>SUM(D62:D68)</f>
        <v>140</v>
      </c>
      <c r="E69" s="115">
        <f>SUM(E62:E68)</f>
        <v>2</v>
      </c>
      <c r="F69" s="116">
        <f t="shared" ref="F69:I69" si="4">SUM(F62:F68)</f>
        <v>2</v>
      </c>
      <c r="G69" s="116">
        <f t="shared" si="4"/>
        <v>0</v>
      </c>
      <c r="H69" s="116">
        <f t="shared" si="4"/>
        <v>5</v>
      </c>
      <c r="I69" s="116">
        <f t="shared" si="4"/>
        <v>0</v>
      </c>
      <c r="J69" s="116"/>
      <c r="K69" s="116">
        <f>SUM(K62:K68)</f>
        <v>0</v>
      </c>
      <c r="L69" s="117">
        <f>SUM(L62:L68)</f>
        <v>130</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471" t="s">
        <v>47</v>
      </c>
      <c r="B71" s="372"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1998" t="s">
        <v>223</v>
      </c>
      <c r="B72" s="1998" t="s">
        <v>224</v>
      </c>
      <c r="C72" s="72">
        <v>2014</v>
      </c>
      <c r="D72" s="131"/>
      <c r="E72" s="131"/>
      <c r="F72" s="131"/>
      <c r="G72" s="132">
        <f>SUM(D72:F72)</f>
        <v>0</v>
      </c>
      <c r="H72" s="30"/>
      <c r="I72" s="133"/>
      <c r="J72" s="109"/>
      <c r="K72" s="109"/>
      <c r="L72" s="109"/>
      <c r="M72" s="109"/>
      <c r="N72" s="109"/>
      <c r="O72" s="134"/>
    </row>
    <row r="73" spans="1:20">
      <c r="A73" s="1998"/>
      <c r="B73" s="1998"/>
      <c r="C73" s="73">
        <v>2015</v>
      </c>
      <c r="D73" s="135"/>
      <c r="E73" s="135"/>
      <c r="F73" s="135"/>
      <c r="G73" s="132">
        <f t="shared" ref="G73:G78" si="5">SUM(D73:F73)</f>
        <v>0</v>
      </c>
      <c r="H73" s="37"/>
      <c r="I73" s="37"/>
      <c r="J73" s="38"/>
      <c r="K73" s="38"/>
      <c r="L73" s="38"/>
      <c r="M73" s="38"/>
      <c r="N73" s="38"/>
      <c r="O73" s="88"/>
    </row>
    <row r="74" spans="1:20">
      <c r="A74" s="1998"/>
      <c r="B74" s="1998"/>
      <c r="C74" s="73">
        <v>2016</v>
      </c>
      <c r="D74" s="135"/>
      <c r="E74" s="472"/>
      <c r="F74" s="135"/>
      <c r="G74" s="132">
        <f t="shared" si="5"/>
        <v>0</v>
      </c>
      <c r="H74" s="37"/>
      <c r="I74" s="37"/>
      <c r="J74" s="38"/>
      <c r="K74" s="38"/>
      <c r="L74" s="38"/>
      <c r="M74" s="38"/>
      <c r="N74" s="38"/>
      <c r="O74" s="88"/>
    </row>
    <row r="75" spans="1:20">
      <c r="A75" s="1998"/>
      <c r="B75" s="1998"/>
      <c r="C75" s="73">
        <v>2017</v>
      </c>
      <c r="D75" s="135">
        <v>4</v>
      </c>
      <c r="E75" s="135"/>
      <c r="F75" s="135"/>
      <c r="G75" s="132">
        <f t="shared" si="5"/>
        <v>4</v>
      </c>
      <c r="H75" s="37"/>
      <c r="I75" s="37"/>
      <c r="J75" s="38"/>
      <c r="K75" s="38">
        <v>4</v>
      </c>
      <c r="L75" s="38"/>
      <c r="M75" s="38"/>
      <c r="N75" s="38"/>
      <c r="O75" s="88"/>
    </row>
    <row r="76" spans="1:20">
      <c r="A76" s="1998"/>
      <c r="B76" s="1998"/>
      <c r="C76" s="73">
        <v>2018</v>
      </c>
      <c r="D76" s="135"/>
      <c r="E76" s="135"/>
      <c r="F76" s="135"/>
      <c r="G76" s="132">
        <f t="shared" si="5"/>
        <v>0</v>
      </c>
      <c r="H76" s="37"/>
      <c r="I76" s="37"/>
      <c r="J76" s="38"/>
      <c r="K76" s="38"/>
      <c r="L76" s="38"/>
      <c r="M76" s="38"/>
      <c r="N76" s="38"/>
      <c r="O76" s="88"/>
    </row>
    <row r="77" spans="1:20" ht="15.75" customHeight="1">
      <c r="A77" s="1998"/>
      <c r="B77" s="1998"/>
      <c r="C77" s="73">
        <v>2019</v>
      </c>
      <c r="D77" s="135"/>
      <c r="E77" s="135"/>
      <c r="F77" s="135"/>
      <c r="G77" s="132">
        <f t="shared" si="5"/>
        <v>0</v>
      </c>
      <c r="H77" s="37"/>
      <c r="I77" s="37"/>
      <c r="J77" s="38"/>
      <c r="K77" s="38"/>
      <c r="L77" s="38"/>
      <c r="M77" s="38"/>
      <c r="N77" s="38"/>
      <c r="O77" s="88"/>
    </row>
    <row r="78" spans="1:20" ht="17.25" customHeight="1">
      <c r="A78" s="1998"/>
      <c r="B78" s="1998"/>
      <c r="C78" s="73">
        <v>2020</v>
      </c>
      <c r="D78" s="135"/>
      <c r="E78" s="135"/>
      <c r="F78" s="135"/>
      <c r="G78" s="132">
        <f t="shared" si="5"/>
        <v>0</v>
      </c>
      <c r="H78" s="37"/>
      <c r="I78" s="37"/>
      <c r="J78" s="38"/>
      <c r="K78" s="38"/>
      <c r="L78" s="38"/>
      <c r="M78" s="38"/>
      <c r="N78" s="38"/>
      <c r="O78" s="88"/>
    </row>
    <row r="79" spans="1:20" ht="20.25" customHeight="1" thickBot="1">
      <c r="A79" s="1999"/>
      <c r="B79" s="1999"/>
      <c r="C79" s="136" t="s">
        <v>13</v>
      </c>
      <c r="D79" s="114">
        <f>SUM(D72:D78)</f>
        <v>4</v>
      </c>
      <c r="E79" s="114">
        <f>SUM(E72:E78)</f>
        <v>0</v>
      </c>
      <c r="F79" s="114">
        <f>SUM(F72:F78)</f>
        <v>0</v>
      </c>
      <c r="G79" s="137">
        <f>SUM(G72:G78)</f>
        <v>4</v>
      </c>
      <c r="H79" s="138">
        <v>0</v>
      </c>
      <c r="I79" s="139">
        <f t="shared" ref="I79:O79" si="6">SUM(I72:I78)</f>
        <v>0</v>
      </c>
      <c r="J79" s="116">
        <f t="shared" si="6"/>
        <v>0</v>
      </c>
      <c r="K79" s="116">
        <f t="shared" si="6"/>
        <v>4</v>
      </c>
      <c r="L79" s="116">
        <f t="shared" si="6"/>
        <v>0</v>
      </c>
      <c r="M79" s="116">
        <f t="shared" si="6"/>
        <v>0</v>
      </c>
      <c r="N79" s="116">
        <f t="shared" si="6"/>
        <v>0</v>
      </c>
      <c r="O79" s="117">
        <f t="shared" si="6"/>
        <v>0</v>
      </c>
    </row>
    <row r="81" spans="1:16" ht="36.75" customHeight="1">
      <c r="A81" s="140"/>
      <c r="B81" s="119"/>
      <c r="C81" s="141"/>
      <c r="D81" s="142"/>
      <c r="E81" s="78"/>
      <c r="F81" s="78"/>
      <c r="G81" s="78"/>
      <c r="H81" s="78"/>
      <c r="I81" s="78"/>
      <c r="J81" s="78"/>
      <c r="K81" s="78"/>
    </row>
    <row r="82" spans="1:16" ht="28.5" customHeight="1">
      <c r="A82" s="473" t="s">
        <v>55</v>
      </c>
      <c r="B82" s="143"/>
      <c r="C82" s="144"/>
      <c r="D82" s="144"/>
      <c r="E82" s="144"/>
      <c r="F82" s="144"/>
      <c r="G82" s="144"/>
      <c r="H82" s="144"/>
      <c r="I82" s="144"/>
      <c r="J82" s="144"/>
      <c r="K82" s="144"/>
      <c r="L82" s="145"/>
    </row>
    <row r="83" spans="1:16" ht="14.25" customHeight="1" thickBot="1">
      <c r="A83" s="474"/>
      <c r="B83" s="146"/>
    </row>
    <row r="84" spans="1:16" s="56" customFormat="1" ht="128.25" customHeight="1">
      <c r="A84" s="475" t="s">
        <v>56</v>
      </c>
      <c r="B84" s="394" t="s">
        <v>178</v>
      </c>
      <c r="C84" s="149" t="s">
        <v>9</v>
      </c>
      <c r="D84" s="150" t="s">
        <v>58</v>
      </c>
      <c r="E84" s="151" t="s">
        <v>59</v>
      </c>
      <c r="F84" s="152" t="s">
        <v>60</v>
      </c>
      <c r="G84" s="152" t="s">
        <v>61</v>
      </c>
      <c r="H84" s="152" t="s">
        <v>62</v>
      </c>
      <c r="I84" s="152" t="s">
        <v>63</v>
      </c>
      <c r="J84" s="152" t="s">
        <v>64</v>
      </c>
      <c r="K84" s="153" t="s">
        <v>65</v>
      </c>
    </row>
    <row r="85" spans="1:16" ht="15" customHeight="1">
      <c r="A85" s="1938"/>
      <c r="B85" s="1987"/>
      <c r="C85" s="72">
        <v>2014</v>
      </c>
      <c r="D85" s="154"/>
      <c r="E85" s="155"/>
      <c r="F85" s="31"/>
      <c r="G85" s="31"/>
      <c r="H85" s="31"/>
      <c r="I85" s="31"/>
      <c r="J85" s="31"/>
      <c r="K85" s="34"/>
    </row>
    <row r="86" spans="1:16">
      <c r="A86" s="1988"/>
      <c r="B86" s="1987"/>
      <c r="C86" s="73">
        <v>2015</v>
      </c>
      <c r="D86" s="156"/>
      <c r="E86" s="112"/>
      <c r="F86" s="38"/>
      <c r="G86" s="38"/>
      <c r="H86" s="38"/>
      <c r="I86" s="38"/>
      <c r="J86" s="38"/>
      <c r="K86" s="88"/>
    </row>
    <row r="87" spans="1:16">
      <c r="A87" s="1988"/>
      <c r="B87" s="1987"/>
      <c r="C87" s="73">
        <v>2016</v>
      </c>
      <c r="D87" s="156"/>
      <c r="E87" s="112"/>
      <c r="F87" s="38"/>
      <c r="G87" s="38"/>
      <c r="H87" s="38"/>
      <c r="I87" s="38"/>
      <c r="J87" s="38"/>
      <c r="K87" s="88"/>
    </row>
    <row r="88" spans="1:16">
      <c r="A88" s="1988"/>
      <c r="B88" s="1987"/>
      <c r="C88" s="73">
        <v>2017</v>
      </c>
      <c r="D88" s="156"/>
      <c r="E88" s="112"/>
      <c r="F88" s="38"/>
      <c r="G88" s="38"/>
      <c r="H88" s="38"/>
      <c r="I88" s="38"/>
      <c r="J88" s="38"/>
      <c r="K88" s="88"/>
    </row>
    <row r="89" spans="1:16">
      <c r="A89" s="1988"/>
      <c r="B89" s="1987"/>
      <c r="C89" s="73">
        <v>2018</v>
      </c>
      <c r="D89" s="156"/>
      <c r="E89" s="112"/>
      <c r="F89" s="38"/>
      <c r="G89" s="38"/>
      <c r="H89" s="38"/>
      <c r="I89" s="38"/>
      <c r="J89" s="38"/>
      <c r="K89" s="88"/>
    </row>
    <row r="90" spans="1:16">
      <c r="A90" s="1988"/>
      <c r="B90" s="1987"/>
      <c r="C90" s="73">
        <v>2019</v>
      </c>
      <c r="D90" s="156"/>
      <c r="E90" s="112"/>
      <c r="F90" s="38"/>
      <c r="G90" s="38"/>
      <c r="H90" s="38"/>
      <c r="I90" s="38"/>
      <c r="J90" s="38"/>
      <c r="K90" s="88"/>
    </row>
    <row r="91" spans="1:16">
      <c r="A91" s="1988"/>
      <c r="B91" s="1987"/>
      <c r="C91" s="73">
        <v>2020</v>
      </c>
      <c r="D91" s="156"/>
      <c r="E91" s="112"/>
      <c r="F91" s="38"/>
      <c r="G91" s="38"/>
      <c r="H91" s="38"/>
      <c r="I91" s="38"/>
      <c r="J91" s="38"/>
      <c r="K91" s="88"/>
    </row>
    <row r="92" spans="1:16" ht="18" customHeight="1" thickBot="1">
      <c r="A92" s="1989"/>
      <c r="B92" s="1990"/>
      <c r="C92" s="136" t="s">
        <v>13</v>
      </c>
      <c r="D92" s="157">
        <f t="shared" ref="D92:I92" si="7">SUM(D85:D91)</f>
        <v>0</v>
      </c>
      <c r="E92" s="115">
        <f t="shared" si="7"/>
        <v>0</v>
      </c>
      <c r="F92" s="116">
        <f t="shared" si="7"/>
        <v>0</v>
      </c>
      <c r="G92" s="116">
        <f t="shared" si="7"/>
        <v>0</v>
      </c>
      <c r="H92" s="116">
        <f t="shared" si="7"/>
        <v>0</v>
      </c>
      <c r="I92" s="116">
        <f t="shared" si="7"/>
        <v>0</v>
      </c>
      <c r="J92" s="116">
        <f>SUM(J85:J91)</f>
        <v>0</v>
      </c>
      <c r="K92" s="117">
        <f>SUM(K85:K91)</f>
        <v>0</v>
      </c>
    </row>
    <row r="93" spans="1:16" ht="20.25" customHeight="1"/>
    <row r="94" spans="1:16" ht="21">
      <c r="A94" s="476" t="s">
        <v>67</v>
      </c>
      <c r="B94" s="158"/>
      <c r="C94" s="159"/>
      <c r="D94" s="159"/>
      <c r="E94" s="159"/>
      <c r="F94" s="159"/>
      <c r="G94" s="159"/>
      <c r="H94" s="159"/>
      <c r="I94" s="159"/>
      <c r="J94" s="159"/>
      <c r="K94" s="159"/>
      <c r="L94" s="159"/>
      <c r="M94" s="159"/>
      <c r="N94" s="160"/>
      <c r="O94" s="160"/>
      <c r="P94" s="160"/>
    </row>
    <row r="95" spans="1:16" s="65" customFormat="1" ht="15" customHeight="1" thickBot="1">
      <c r="A95" s="477"/>
      <c r="B95" s="161"/>
    </row>
    <row r="96" spans="1:16" ht="29.25" customHeight="1">
      <c r="A96" s="1909" t="s">
        <v>68</v>
      </c>
      <c r="B96" s="1911" t="s">
        <v>179</v>
      </c>
      <c r="C96" s="1924" t="s">
        <v>9</v>
      </c>
      <c r="D96" s="1916" t="s">
        <v>70</v>
      </c>
      <c r="E96" s="1917"/>
      <c r="F96" s="162" t="s">
        <v>71</v>
      </c>
      <c r="G96" s="163"/>
      <c r="H96" s="163"/>
      <c r="I96" s="163"/>
      <c r="J96" s="163"/>
      <c r="K96" s="163"/>
      <c r="L96" s="163"/>
      <c r="M96" s="164"/>
      <c r="N96" s="165"/>
      <c r="O96" s="165"/>
      <c r="P96" s="165"/>
    </row>
    <row r="97" spans="1:16" ht="100.5" customHeight="1">
      <c r="A97" s="1910"/>
      <c r="B97" s="1995"/>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1898" t="s">
        <v>225</v>
      </c>
      <c r="B98" s="1987"/>
      <c r="C98" s="106">
        <v>2014</v>
      </c>
      <c r="D98" s="30"/>
      <c r="E98" s="31"/>
      <c r="F98" s="174"/>
      <c r="G98" s="175"/>
      <c r="H98" s="175"/>
      <c r="I98" s="175"/>
      <c r="J98" s="175"/>
      <c r="K98" s="175"/>
      <c r="L98" s="175"/>
      <c r="M98" s="176"/>
      <c r="N98" s="165"/>
      <c r="O98" s="165"/>
      <c r="P98" s="165"/>
    </row>
    <row r="99" spans="1:16" ht="16.5" customHeight="1">
      <c r="A99" s="1988"/>
      <c r="B99" s="1987"/>
      <c r="C99" s="110">
        <v>2015</v>
      </c>
      <c r="D99" s="37">
        <v>1</v>
      </c>
      <c r="E99" s="38">
        <v>1</v>
      </c>
      <c r="F99" s="177"/>
      <c r="G99" s="178"/>
      <c r="H99" s="178"/>
      <c r="I99" s="178"/>
      <c r="J99" s="178"/>
      <c r="K99" s="178"/>
      <c r="L99" s="178"/>
      <c r="M99" s="179">
        <v>1</v>
      </c>
      <c r="N99" s="165"/>
      <c r="O99" s="165"/>
      <c r="P99" s="165"/>
    </row>
    <row r="100" spans="1:16" ht="16.5" customHeight="1">
      <c r="A100" s="1988"/>
      <c r="B100" s="1987"/>
      <c r="C100" s="110">
        <v>2016</v>
      </c>
      <c r="D100" s="37">
        <v>1</v>
      </c>
      <c r="E100" s="38">
        <v>3</v>
      </c>
      <c r="F100" s="177"/>
      <c r="G100" s="178"/>
      <c r="H100" s="178"/>
      <c r="I100" s="178"/>
      <c r="J100" s="178"/>
      <c r="K100" s="178"/>
      <c r="L100" s="178"/>
      <c r="M100" s="179">
        <v>1</v>
      </c>
      <c r="N100" s="165"/>
      <c r="O100" s="165"/>
      <c r="P100" s="165"/>
    </row>
    <row r="101" spans="1:16" ht="16.5" customHeight="1">
      <c r="A101" s="1988"/>
      <c r="B101" s="1987"/>
      <c r="C101" s="110">
        <v>2017</v>
      </c>
      <c r="D101" s="37">
        <v>1</v>
      </c>
      <c r="E101" s="38">
        <v>7</v>
      </c>
      <c r="F101" s="177"/>
      <c r="G101" s="178"/>
      <c r="H101" s="178"/>
      <c r="I101" s="178"/>
      <c r="J101" s="178"/>
      <c r="K101" s="178"/>
      <c r="L101" s="178"/>
      <c r="M101" s="179">
        <v>1</v>
      </c>
      <c r="N101" s="165"/>
      <c r="O101" s="165"/>
      <c r="P101" s="165"/>
    </row>
    <row r="102" spans="1:16" ht="15.75" customHeight="1">
      <c r="A102" s="1988"/>
      <c r="B102" s="1987"/>
      <c r="C102" s="110">
        <v>2018</v>
      </c>
      <c r="D102" s="37"/>
      <c r="E102" s="38"/>
      <c r="F102" s="177"/>
      <c r="G102" s="178"/>
      <c r="H102" s="178"/>
      <c r="I102" s="178"/>
      <c r="J102" s="178"/>
      <c r="K102" s="178"/>
      <c r="L102" s="178"/>
      <c r="M102" s="179"/>
      <c r="N102" s="165"/>
      <c r="O102" s="165"/>
      <c r="P102" s="165"/>
    </row>
    <row r="103" spans="1:16" ht="14.25" customHeight="1">
      <c r="A103" s="1988"/>
      <c r="B103" s="1987"/>
      <c r="C103" s="110">
        <v>2019</v>
      </c>
      <c r="D103" s="37"/>
      <c r="E103" s="38"/>
      <c r="F103" s="177"/>
      <c r="G103" s="178"/>
      <c r="H103" s="178"/>
      <c r="I103" s="178"/>
      <c r="J103" s="178"/>
      <c r="K103" s="178"/>
      <c r="L103" s="178"/>
      <c r="M103" s="179"/>
      <c r="N103" s="165"/>
      <c r="O103" s="165"/>
      <c r="P103" s="165"/>
    </row>
    <row r="104" spans="1:16" ht="14.25" customHeight="1">
      <c r="A104" s="1988"/>
      <c r="B104" s="1987"/>
      <c r="C104" s="110">
        <v>2020</v>
      </c>
      <c r="D104" s="37"/>
      <c r="E104" s="38"/>
      <c r="F104" s="177"/>
      <c r="G104" s="178"/>
      <c r="H104" s="178"/>
      <c r="I104" s="178"/>
      <c r="J104" s="178"/>
      <c r="K104" s="178"/>
      <c r="L104" s="178"/>
      <c r="M104" s="179"/>
      <c r="N104" s="165"/>
      <c r="O104" s="165"/>
      <c r="P104" s="165"/>
    </row>
    <row r="105" spans="1:16" ht="19.5" customHeight="1" thickBot="1">
      <c r="A105" s="1989"/>
      <c r="B105" s="1990"/>
      <c r="C105" s="113" t="s">
        <v>13</v>
      </c>
      <c r="D105" s="139">
        <f>SUM(D98:D104)</f>
        <v>3</v>
      </c>
      <c r="E105" s="116">
        <f t="shared" ref="E105:K105" si="8">SUM(E98:E104)</f>
        <v>11</v>
      </c>
      <c r="F105" s="180">
        <f t="shared" si="8"/>
        <v>0</v>
      </c>
      <c r="G105" s="181">
        <f t="shared" si="8"/>
        <v>0</v>
      </c>
      <c r="H105" s="181">
        <f t="shared" si="8"/>
        <v>0</v>
      </c>
      <c r="I105" s="181">
        <f>SUM(I98:I104)</f>
        <v>0</v>
      </c>
      <c r="J105" s="181">
        <f t="shared" si="8"/>
        <v>0</v>
      </c>
      <c r="K105" s="181">
        <f t="shared" si="8"/>
        <v>0</v>
      </c>
      <c r="L105" s="181">
        <f>SUM(L98:L104)</f>
        <v>0</v>
      </c>
      <c r="M105" s="182">
        <f>SUM(M98:M104)</f>
        <v>3</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1909" t="s">
        <v>77</v>
      </c>
      <c r="B107" s="1911" t="s">
        <v>179</v>
      </c>
      <c r="C107" s="1924" t="s">
        <v>9</v>
      </c>
      <c r="D107" s="1926" t="s">
        <v>78</v>
      </c>
      <c r="E107" s="162" t="s">
        <v>79</v>
      </c>
      <c r="F107" s="163"/>
      <c r="G107" s="163"/>
      <c r="H107" s="163"/>
      <c r="I107" s="163"/>
      <c r="J107" s="163"/>
      <c r="K107" s="163"/>
      <c r="L107" s="164"/>
      <c r="M107" s="185"/>
      <c r="N107" s="185"/>
    </row>
    <row r="108" spans="1:16" ht="103.5" customHeight="1">
      <c r="A108" s="1910"/>
      <c r="B108" s="1995"/>
      <c r="C108" s="1925"/>
      <c r="D108" s="1927"/>
      <c r="E108" s="168" t="s">
        <v>14</v>
      </c>
      <c r="F108" s="169" t="s">
        <v>74</v>
      </c>
      <c r="G108" s="170" t="s">
        <v>61</v>
      </c>
      <c r="H108" s="171" t="s">
        <v>62</v>
      </c>
      <c r="I108" s="171" t="s">
        <v>63</v>
      </c>
      <c r="J108" s="172" t="s">
        <v>75</v>
      </c>
      <c r="K108" s="170" t="s">
        <v>64</v>
      </c>
      <c r="L108" s="173" t="s">
        <v>65</v>
      </c>
      <c r="M108" s="185"/>
      <c r="N108" s="185"/>
    </row>
    <row r="109" spans="1:16">
      <c r="A109" s="1898"/>
      <c r="B109" s="1987"/>
      <c r="C109" s="106">
        <v>2014</v>
      </c>
      <c r="D109" s="31"/>
      <c r="E109" s="174"/>
      <c r="F109" s="175"/>
      <c r="G109" s="175"/>
      <c r="H109" s="175"/>
      <c r="I109" s="175"/>
      <c r="J109" s="175"/>
      <c r="K109" s="175"/>
      <c r="L109" s="176"/>
      <c r="M109" s="185"/>
      <c r="N109" s="185"/>
    </row>
    <row r="110" spans="1:16">
      <c r="A110" s="1988"/>
      <c r="B110" s="1987"/>
      <c r="C110" s="110">
        <v>2015</v>
      </c>
      <c r="D110" s="38"/>
      <c r="E110" s="177"/>
      <c r="F110" s="178"/>
      <c r="G110" s="178"/>
      <c r="H110" s="178"/>
      <c r="I110" s="178"/>
      <c r="J110" s="178"/>
      <c r="K110" s="178"/>
      <c r="L110" s="179"/>
      <c r="M110" s="185"/>
      <c r="N110" s="185"/>
    </row>
    <row r="111" spans="1:16">
      <c r="A111" s="1988"/>
      <c r="B111" s="1987"/>
      <c r="C111" s="110">
        <v>2016</v>
      </c>
      <c r="D111" s="38"/>
      <c r="E111" s="177"/>
      <c r="F111" s="178"/>
      <c r="G111" s="178"/>
      <c r="H111" s="178"/>
      <c r="I111" s="178"/>
      <c r="J111" s="178"/>
      <c r="K111" s="178"/>
      <c r="L111" s="179"/>
      <c r="M111" s="185"/>
      <c r="N111" s="185"/>
    </row>
    <row r="112" spans="1:16">
      <c r="A112" s="1988"/>
      <c r="B112" s="1987"/>
      <c r="C112" s="110">
        <v>2017</v>
      </c>
      <c r="D112" s="38"/>
      <c r="E112" s="177"/>
      <c r="F112" s="178"/>
      <c r="G112" s="178"/>
      <c r="H112" s="178"/>
      <c r="I112" s="178"/>
      <c r="J112" s="178"/>
      <c r="K112" s="178"/>
      <c r="L112" s="179"/>
      <c r="M112" s="185"/>
      <c r="N112" s="185"/>
    </row>
    <row r="113" spans="1:14">
      <c r="A113" s="1988"/>
      <c r="B113" s="1987"/>
      <c r="C113" s="110">
        <v>2018</v>
      </c>
      <c r="D113" s="38"/>
      <c r="E113" s="177"/>
      <c r="F113" s="178"/>
      <c r="G113" s="178"/>
      <c r="H113" s="178"/>
      <c r="I113" s="178"/>
      <c r="J113" s="178"/>
      <c r="K113" s="178"/>
      <c r="L113" s="179"/>
      <c r="M113" s="185"/>
      <c r="N113" s="185"/>
    </row>
    <row r="114" spans="1:14">
      <c r="A114" s="1988"/>
      <c r="B114" s="1987"/>
      <c r="C114" s="110">
        <v>2019</v>
      </c>
      <c r="D114" s="38"/>
      <c r="E114" s="177"/>
      <c r="F114" s="178"/>
      <c r="G114" s="178"/>
      <c r="H114" s="178"/>
      <c r="I114" s="178"/>
      <c r="J114" s="178"/>
      <c r="K114" s="178"/>
      <c r="L114" s="179"/>
      <c r="M114" s="185"/>
      <c r="N114" s="185"/>
    </row>
    <row r="115" spans="1:14">
      <c r="A115" s="1988"/>
      <c r="B115" s="1987"/>
      <c r="C115" s="110">
        <v>2020</v>
      </c>
      <c r="D115" s="38"/>
      <c r="E115" s="177"/>
      <c r="F115" s="178"/>
      <c r="G115" s="178"/>
      <c r="H115" s="178"/>
      <c r="I115" s="178"/>
      <c r="J115" s="178"/>
      <c r="K115" s="178"/>
      <c r="L115" s="179"/>
      <c r="M115" s="185"/>
      <c r="N115" s="185"/>
    </row>
    <row r="116" spans="1:14" ht="25.5" customHeight="1" thickBot="1">
      <c r="A116" s="1989"/>
      <c r="B116" s="1990"/>
      <c r="C116" s="113" t="s">
        <v>13</v>
      </c>
      <c r="D116" s="116">
        <f t="shared" ref="D116:I116" si="9">SUM(D109:D115)</f>
        <v>0</v>
      </c>
      <c r="E116" s="180">
        <f t="shared" si="9"/>
        <v>0</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478"/>
      <c r="B117" s="187"/>
      <c r="C117" s="65"/>
      <c r="D117" s="65"/>
      <c r="E117" s="65"/>
      <c r="F117" s="65"/>
      <c r="G117" s="65"/>
      <c r="H117" s="65"/>
      <c r="I117" s="65"/>
      <c r="J117" s="65"/>
      <c r="K117" s="65"/>
      <c r="L117" s="65"/>
      <c r="M117" s="185"/>
      <c r="N117" s="185"/>
    </row>
    <row r="118" spans="1:14" ht="15" customHeight="1">
      <c r="A118" s="1909" t="s">
        <v>81</v>
      </c>
      <c r="B118" s="1911" t="s">
        <v>179</v>
      </c>
      <c r="C118" s="1924" t="s">
        <v>9</v>
      </c>
      <c r="D118" s="1926" t="s">
        <v>82</v>
      </c>
      <c r="E118" s="162" t="s">
        <v>79</v>
      </c>
      <c r="F118" s="163"/>
      <c r="G118" s="163"/>
      <c r="H118" s="163"/>
      <c r="I118" s="163"/>
      <c r="J118" s="163"/>
      <c r="K118" s="163"/>
      <c r="L118" s="164"/>
      <c r="M118" s="185"/>
      <c r="N118" s="185"/>
    </row>
    <row r="119" spans="1:14" ht="120.75" customHeight="1">
      <c r="A119" s="1910"/>
      <c r="B119" s="1995"/>
      <c r="C119" s="1925"/>
      <c r="D119" s="1927"/>
      <c r="E119" s="168" t="s">
        <v>14</v>
      </c>
      <c r="F119" s="169" t="s">
        <v>74</v>
      </c>
      <c r="G119" s="170" t="s">
        <v>61</v>
      </c>
      <c r="H119" s="171" t="s">
        <v>62</v>
      </c>
      <c r="I119" s="171" t="s">
        <v>63</v>
      </c>
      <c r="J119" s="172" t="s">
        <v>75</v>
      </c>
      <c r="K119" s="170" t="s">
        <v>64</v>
      </c>
      <c r="L119" s="173" t="s">
        <v>65</v>
      </c>
      <c r="M119" s="185"/>
      <c r="N119" s="185"/>
    </row>
    <row r="120" spans="1:14">
      <c r="A120" s="1898"/>
      <c r="B120" s="1987"/>
      <c r="C120" s="106">
        <v>2014</v>
      </c>
      <c r="D120" s="31"/>
      <c r="E120" s="174"/>
      <c r="F120" s="175"/>
      <c r="G120" s="175"/>
      <c r="H120" s="175"/>
      <c r="I120" s="175"/>
      <c r="J120" s="175"/>
      <c r="K120" s="175"/>
      <c r="L120" s="176"/>
      <c r="M120" s="185"/>
      <c r="N120" s="185"/>
    </row>
    <row r="121" spans="1:14">
      <c r="A121" s="1988"/>
      <c r="B121" s="1987"/>
      <c r="C121" s="110">
        <v>2015</v>
      </c>
      <c r="D121" s="38"/>
      <c r="E121" s="177"/>
      <c r="F121" s="178"/>
      <c r="G121" s="178"/>
      <c r="H121" s="178"/>
      <c r="I121" s="178"/>
      <c r="J121" s="178"/>
      <c r="K121" s="178"/>
      <c r="L121" s="179"/>
      <c r="M121" s="185"/>
      <c r="N121" s="185"/>
    </row>
    <row r="122" spans="1:14">
      <c r="A122" s="1988"/>
      <c r="B122" s="1987"/>
      <c r="C122" s="110">
        <v>2016</v>
      </c>
      <c r="D122" s="38"/>
      <c r="E122" s="177"/>
      <c r="F122" s="178"/>
      <c r="G122" s="178"/>
      <c r="H122" s="178"/>
      <c r="I122" s="178"/>
      <c r="J122" s="178"/>
      <c r="K122" s="178"/>
      <c r="L122" s="179"/>
      <c r="M122" s="185"/>
      <c r="N122" s="185"/>
    </row>
    <row r="123" spans="1:14">
      <c r="A123" s="1988"/>
      <c r="B123" s="1987"/>
      <c r="C123" s="110">
        <v>2017</v>
      </c>
      <c r="D123" s="38"/>
      <c r="E123" s="177"/>
      <c r="F123" s="178"/>
      <c r="G123" s="178"/>
      <c r="H123" s="178"/>
      <c r="I123" s="178"/>
      <c r="J123" s="178"/>
      <c r="K123" s="178"/>
      <c r="L123" s="179"/>
      <c r="M123" s="185"/>
      <c r="N123" s="185"/>
    </row>
    <row r="124" spans="1:14">
      <c r="A124" s="1988"/>
      <c r="B124" s="1987"/>
      <c r="C124" s="110">
        <v>2018</v>
      </c>
      <c r="D124" s="38"/>
      <c r="E124" s="177"/>
      <c r="F124" s="178"/>
      <c r="G124" s="178"/>
      <c r="H124" s="178"/>
      <c r="I124" s="178"/>
      <c r="J124" s="178"/>
      <c r="K124" s="178"/>
      <c r="L124" s="179"/>
      <c r="M124" s="185"/>
      <c r="N124" s="185"/>
    </row>
    <row r="125" spans="1:14">
      <c r="A125" s="1988"/>
      <c r="B125" s="1987"/>
      <c r="C125" s="110">
        <v>2019</v>
      </c>
      <c r="D125" s="38"/>
      <c r="E125" s="177"/>
      <c r="F125" s="178"/>
      <c r="G125" s="178"/>
      <c r="H125" s="178"/>
      <c r="I125" s="178"/>
      <c r="J125" s="178"/>
      <c r="K125" s="178"/>
      <c r="L125" s="179"/>
      <c r="M125" s="185"/>
      <c r="N125" s="185"/>
    </row>
    <row r="126" spans="1:14">
      <c r="A126" s="1988"/>
      <c r="B126" s="1987"/>
      <c r="C126" s="110">
        <v>2020</v>
      </c>
      <c r="D126" s="38"/>
      <c r="E126" s="177"/>
      <c r="F126" s="178"/>
      <c r="G126" s="178"/>
      <c r="H126" s="178"/>
      <c r="I126" s="178"/>
      <c r="J126" s="178"/>
      <c r="K126" s="178"/>
      <c r="L126" s="179"/>
      <c r="M126" s="185"/>
      <c r="N126" s="185"/>
    </row>
    <row r="127" spans="1:14" ht="15.75" thickBot="1">
      <c r="A127" s="1989"/>
      <c r="B127" s="199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1909" t="s">
        <v>84</v>
      </c>
      <c r="B129" s="1911" t="s">
        <v>179</v>
      </c>
      <c r="C129" s="188" t="s">
        <v>9</v>
      </c>
      <c r="D129" s="189" t="s">
        <v>85</v>
      </c>
      <c r="E129" s="190"/>
      <c r="F129" s="190"/>
      <c r="G129" s="191"/>
      <c r="H129" s="185"/>
      <c r="I129" s="185"/>
      <c r="J129" s="185"/>
      <c r="K129" s="185"/>
      <c r="L129" s="185"/>
      <c r="M129" s="185"/>
      <c r="N129" s="185"/>
    </row>
    <row r="130" spans="1:16" ht="77.25" customHeight="1">
      <c r="A130" s="1910"/>
      <c r="B130" s="1995"/>
      <c r="C130" s="192"/>
      <c r="D130" s="166" t="s">
        <v>86</v>
      </c>
      <c r="E130" s="193" t="s">
        <v>87</v>
      </c>
      <c r="F130" s="167" t="s">
        <v>88</v>
      </c>
      <c r="G130" s="194" t="s">
        <v>13</v>
      </c>
      <c r="H130" s="185"/>
      <c r="I130" s="185"/>
      <c r="J130" s="185"/>
      <c r="K130" s="185"/>
      <c r="L130" s="185"/>
      <c r="M130" s="185"/>
      <c r="N130" s="185"/>
    </row>
    <row r="131" spans="1:16" ht="15" customHeight="1">
      <c r="A131" s="1996"/>
      <c r="B131" s="1996"/>
      <c r="C131" s="479">
        <v>2015</v>
      </c>
      <c r="D131" s="90">
        <v>23</v>
      </c>
      <c r="E131" s="91"/>
      <c r="F131" s="91"/>
      <c r="G131" s="195">
        <f t="shared" ref="G131:G136" si="11">SUM(D131:F131)</f>
        <v>23</v>
      </c>
      <c r="H131" s="185"/>
      <c r="I131" s="185"/>
      <c r="J131" s="185"/>
      <c r="K131" s="185"/>
      <c r="L131" s="185"/>
      <c r="M131" s="185"/>
      <c r="N131" s="185"/>
    </row>
    <row r="132" spans="1:16">
      <c r="A132" s="1996"/>
      <c r="B132" s="1996"/>
      <c r="C132" s="110">
        <v>2016</v>
      </c>
      <c r="D132" s="37">
        <f>17+16+9+14</f>
        <v>56</v>
      </c>
      <c r="E132" s="38"/>
      <c r="F132" s="38"/>
      <c r="G132" s="195">
        <f t="shared" si="11"/>
        <v>56</v>
      </c>
      <c r="H132" s="185"/>
      <c r="I132" s="185"/>
      <c r="J132" s="185"/>
      <c r="K132" s="185"/>
      <c r="L132" s="185"/>
      <c r="M132" s="185"/>
      <c r="N132" s="185"/>
    </row>
    <row r="133" spans="1:16">
      <c r="A133" s="1996"/>
      <c r="B133" s="1996"/>
      <c r="C133" s="110">
        <v>2017</v>
      </c>
      <c r="D133" s="37">
        <v>79</v>
      </c>
      <c r="E133" s="38"/>
      <c r="F133" s="38"/>
      <c r="G133" s="195">
        <f t="shared" si="11"/>
        <v>79</v>
      </c>
      <c r="H133" s="185"/>
      <c r="I133" s="185"/>
      <c r="J133" s="185"/>
      <c r="K133" s="185"/>
      <c r="L133" s="185"/>
      <c r="M133" s="185"/>
      <c r="N133" s="185"/>
    </row>
    <row r="134" spans="1:16">
      <c r="A134" s="1996"/>
      <c r="B134" s="1996"/>
      <c r="C134" s="110">
        <v>2018</v>
      </c>
      <c r="D134" s="37"/>
      <c r="E134" s="38"/>
      <c r="F134" s="38"/>
      <c r="G134" s="195">
        <f t="shared" si="11"/>
        <v>0</v>
      </c>
      <c r="H134" s="185"/>
      <c r="I134" s="185"/>
      <c r="J134" s="185"/>
      <c r="K134" s="185"/>
      <c r="L134" s="185"/>
      <c r="M134" s="185"/>
      <c r="N134" s="185"/>
    </row>
    <row r="135" spans="1:16">
      <c r="A135" s="1996"/>
      <c r="B135" s="1996"/>
      <c r="C135" s="110">
        <v>2019</v>
      </c>
      <c r="D135" s="37"/>
      <c r="E135" s="38"/>
      <c r="F135" s="38"/>
      <c r="G135" s="195">
        <f t="shared" si="11"/>
        <v>0</v>
      </c>
      <c r="H135" s="185"/>
      <c r="I135" s="185"/>
      <c r="J135" s="185"/>
      <c r="K135" s="185"/>
      <c r="L135" s="185"/>
      <c r="M135" s="185"/>
      <c r="N135" s="185"/>
    </row>
    <row r="136" spans="1:16">
      <c r="A136" s="1996"/>
      <c r="B136" s="1996"/>
      <c r="C136" s="110">
        <v>2020</v>
      </c>
      <c r="D136" s="37"/>
      <c r="E136" s="38"/>
      <c r="F136" s="38"/>
      <c r="G136" s="195">
        <f t="shared" si="11"/>
        <v>0</v>
      </c>
      <c r="H136" s="185"/>
      <c r="I136" s="185"/>
      <c r="J136" s="185"/>
      <c r="K136" s="185"/>
      <c r="L136" s="185"/>
      <c r="M136" s="185"/>
      <c r="N136" s="185"/>
    </row>
    <row r="137" spans="1:16" ht="17.25" customHeight="1" thickBot="1">
      <c r="A137" s="1997"/>
      <c r="B137" s="1997"/>
      <c r="C137" s="113" t="s">
        <v>13</v>
      </c>
      <c r="D137" s="139">
        <f>SUM(D131:D136)</f>
        <v>158</v>
      </c>
      <c r="E137" s="139">
        <f t="shared" ref="E137:F137" si="12">SUM(E131:E136)</f>
        <v>0</v>
      </c>
      <c r="F137" s="139">
        <f t="shared" si="12"/>
        <v>0</v>
      </c>
      <c r="G137" s="196">
        <f>SUM(G131:G136)</f>
        <v>158</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48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1913" t="s">
        <v>91</v>
      </c>
      <c r="B142" s="1903" t="s">
        <v>179</v>
      </c>
      <c r="C142" s="1907" t="s">
        <v>9</v>
      </c>
      <c r="D142" s="203" t="s">
        <v>92</v>
      </c>
      <c r="E142" s="204"/>
      <c r="F142" s="204"/>
      <c r="G142" s="204"/>
      <c r="H142" s="204"/>
      <c r="I142" s="205"/>
      <c r="J142" s="1895" t="s">
        <v>93</v>
      </c>
      <c r="K142" s="1896"/>
      <c r="L142" s="1896"/>
      <c r="M142" s="1896"/>
      <c r="N142" s="1897"/>
      <c r="O142" s="165"/>
      <c r="P142" s="165"/>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c r="B144" s="1987"/>
      <c r="C144" s="106">
        <v>2014</v>
      </c>
      <c r="D144" s="30"/>
      <c r="E144" s="30"/>
      <c r="F144" s="31"/>
      <c r="G144" s="175"/>
      <c r="H144" s="175"/>
      <c r="I144" s="213">
        <f>D144+F144+G144+H144</f>
        <v>0</v>
      </c>
      <c r="J144" s="214"/>
      <c r="K144" s="215"/>
      <c r="L144" s="214"/>
      <c r="M144" s="215"/>
      <c r="N144" s="216"/>
      <c r="O144" s="165"/>
      <c r="P144" s="165"/>
    </row>
    <row r="145" spans="1:16" ht="19.5" customHeight="1">
      <c r="A145" s="1988"/>
      <c r="B145" s="1987"/>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1988"/>
      <c r="B146" s="1987"/>
      <c r="C146" s="110">
        <v>2016</v>
      </c>
      <c r="D146" s="37"/>
      <c r="E146" s="37"/>
      <c r="F146" s="38"/>
      <c r="G146" s="178"/>
      <c r="H146" s="178"/>
      <c r="I146" s="213">
        <f t="shared" si="13"/>
        <v>0</v>
      </c>
      <c r="J146" s="217"/>
      <c r="K146" s="218"/>
      <c r="L146" s="217"/>
      <c r="M146" s="218"/>
      <c r="N146" s="219"/>
      <c r="O146" s="165"/>
      <c r="P146" s="165"/>
    </row>
    <row r="147" spans="1:16" ht="17.25" customHeight="1">
      <c r="A147" s="1988"/>
      <c r="B147" s="1987"/>
      <c r="C147" s="110">
        <v>2017</v>
      </c>
      <c r="D147" s="37"/>
      <c r="E147" s="37"/>
      <c r="F147" s="38"/>
      <c r="G147" s="178"/>
      <c r="H147" s="178"/>
      <c r="I147" s="213">
        <f t="shared" si="13"/>
        <v>0</v>
      </c>
      <c r="J147" s="217"/>
      <c r="K147" s="218"/>
      <c r="L147" s="217"/>
      <c r="M147" s="218"/>
      <c r="N147" s="219"/>
      <c r="O147" s="165"/>
      <c r="P147" s="165"/>
    </row>
    <row r="148" spans="1:16" ht="19.5" customHeight="1">
      <c r="A148" s="1988"/>
      <c r="B148" s="1987"/>
      <c r="C148" s="110">
        <v>2018</v>
      </c>
      <c r="D148" s="37"/>
      <c r="E148" s="37"/>
      <c r="F148" s="38"/>
      <c r="G148" s="178"/>
      <c r="H148" s="178"/>
      <c r="I148" s="213">
        <f t="shared" si="13"/>
        <v>0</v>
      </c>
      <c r="J148" s="217"/>
      <c r="K148" s="218"/>
      <c r="L148" s="217"/>
      <c r="M148" s="218"/>
      <c r="N148" s="219"/>
      <c r="O148" s="165"/>
      <c r="P148" s="165"/>
    </row>
    <row r="149" spans="1:16" ht="19.5" customHeight="1">
      <c r="A149" s="1988"/>
      <c r="B149" s="1987"/>
      <c r="C149" s="110">
        <v>2019</v>
      </c>
      <c r="D149" s="37"/>
      <c r="E149" s="37"/>
      <c r="F149" s="38"/>
      <c r="G149" s="178"/>
      <c r="H149" s="178"/>
      <c r="I149" s="213">
        <f t="shared" si="13"/>
        <v>0</v>
      </c>
      <c r="J149" s="217"/>
      <c r="K149" s="218"/>
      <c r="L149" s="217"/>
      <c r="M149" s="218"/>
      <c r="N149" s="219"/>
      <c r="O149" s="165"/>
      <c r="P149" s="165"/>
    </row>
    <row r="150" spans="1:16" ht="18.75" customHeight="1">
      <c r="A150" s="1988"/>
      <c r="B150" s="1987"/>
      <c r="C150" s="110">
        <v>2020</v>
      </c>
      <c r="D150" s="37"/>
      <c r="E150" s="37"/>
      <c r="F150" s="38"/>
      <c r="G150" s="178"/>
      <c r="H150" s="178"/>
      <c r="I150" s="213">
        <f t="shared" si="13"/>
        <v>0</v>
      </c>
      <c r="J150" s="217"/>
      <c r="K150" s="218"/>
      <c r="L150" s="217"/>
      <c r="M150" s="218"/>
      <c r="N150" s="219"/>
      <c r="O150" s="165"/>
      <c r="P150" s="165"/>
    </row>
    <row r="151" spans="1:16" ht="18" customHeight="1" thickBot="1">
      <c r="A151" s="1989"/>
      <c r="B151" s="199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1991" t="s">
        <v>105</v>
      </c>
      <c r="B153" s="1903" t="s">
        <v>179</v>
      </c>
      <c r="C153" s="1905" t="s">
        <v>9</v>
      </c>
      <c r="D153" s="225" t="s">
        <v>106</v>
      </c>
      <c r="E153" s="225"/>
      <c r="F153" s="226"/>
      <c r="G153" s="226"/>
      <c r="H153" s="225" t="s">
        <v>107</v>
      </c>
      <c r="I153" s="225"/>
      <c r="J153" s="227"/>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1898"/>
      <c r="B155" s="1987"/>
      <c r="C155" s="233">
        <v>2014</v>
      </c>
      <c r="D155" s="214"/>
      <c r="E155" s="175"/>
      <c r="F155" s="215"/>
      <c r="G155" s="213">
        <f>SUM(D155:F155)</f>
        <v>0</v>
      </c>
      <c r="H155" s="214"/>
      <c r="I155" s="175"/>
      <c r="J155" s="176"/>
      <c r="O155" s="165"/>
      <c r="P155" s="165"/>
    </row>
    <row r="156" spans="1:16" ht="19.5" customHeight="1">
      <c r="A156" s="1988"/>
      <c r="B156" s="1987"/>
      <c r="C156" s="234">
        <v>2015</v>
      </c>
      <c r="D156" s="217"/>
      <c r="E156" s="178"/>
      <c r="F156" s="218"/>
      <c r="G156" s="213">
        <f t="shared" ref="G156:G161" si="15">SUM(D156:F156)</f>
        <v>0</v>
      </c>
      <c r="H156" s="217"/>
      <c r="I156" s="178"/>
      <c r="J156" s="179"/>
      <c r="O156" s="165"/>
      <c r="P156" s="165"/>
    </row>
    <row r="157" spans="1:16" ht="17.25" customHeight="1">
      <c r="A157" s="1988"/>
      <c r="B157" s="1987"/>
      <c r="C157" s="234">
        <v>2016</v>
      </c>
      <c r="D157" s="217"/>
      <c r="E157" s="178"/>
      <c r="F157" s="218"/>
      <c r="G157" s="213">
        <f t="shared" si="15"/>
        <v>0</v>
      </c>
      <c r="H157" s="217"/>
      <c r="I157" s="178"/>
      <c r="J157" s="179"/>
      <c r="O157" s="165"/>
      <c r="P157" s="165"/>
    </row>
    <row r="158" spans="1:16" ht="15" customHeight="1">
      <c r="A158" s="1988"/>
      <c r="B158" s="1987"/>
      <c r="C158" s="234">
        <v>2017</v>
      </c>
      <c r="D158" s="217"/>
      <c r="E158" s="178"/>
      <c r="F158" s="218"/>
      <c r="G158" s="213">
        <f t="shared" si="15"/>
        <v>0</v>
      </c>
      <c r="H158" s="217"/>
      <c r="I158" s="178"/>
      <c r="J158" s="179"/>
      <c r="O158" s="165"/>
      <c r="P158" s="165"/>
    </row>
    <row r="159" spans="1:16" ht="19.5" customHeight="1">
      <c r="A159" s="1988"/>
      <c r="B159" s="1987"/>
      <c r="C159" s="234">
        <v>2018</v>
      </c>
      <c r="D159" s="217"/>
      <c r="E159" s="178"/>
      <c r="F159" s="218"/>
      <c r="G159" s="213">
        <f t="shared" si="15"/>
        <v>0</v>
      </c>
      <c r="H159" s="217"/>
      <c r="I159" s="178"/>
      <c r="J159" s="179"/>
      <c r="O159" s="165"/>
      <c r="P159" s="165"/>
    </row>
    <row r="160" spans="1:16" ht="15" customHeight="1">
      <c r="A160" s="1988"/>
      <c r="B160" s="1987"/>
      <c r="C160" s="234">
        <v>2019</v>
      </c>
      <c r="D160" s="217"/>
      <c r="E160" s="178"/>
      <c r="F160" s="218"/>
      <c r="G160" s="213">
        <f t="shared" si="15"/>
        <v>0</v>
      </c>
      <c r="H160" s="217"/>
      <c r="I160" s="178"/>
      <c r="J160" s="179"/>
      <c r="O160" s="165"/>
      <c r="P160" s="165"/>
    </row>
    <row r="161" spans="1:18" ht="17.25" customHeight="1">
      <c r="A161" s="1988"/>
      <c r="B161" s="1987"/>
      <c r="C161" s="234">
        <v>2020</v>
      </c>
      <c r="D161" s="217"/>
      <c r="E161" s="178"/>
      <c r="F161" s="218"/>
      <c r="G161" s="213">
        <f t="shared" si="15"/>
        <v>0</v>
      </c>
      <c r="H161" s="217"/>
      <c r="I161" s="178"/>
      <c r="J161" s="179"/>
      <c r="O161" s="165"/>
      <c r="P161" s="165"/>
    </row>
    <row r="162" spans="1:18" ht="15.75" thickBot="1">
      <c r="A162" s="1989"/>
      <c r="B162" s="199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240"/>
      <c r="F163" s="165"/>
      <c r="G163" s="165"/>
      <c r="H163" s="165"/>
      <c r="I163" s="165"/>
      <c r="J163" s="241"/>
      <c r="K163" s="242"/>
    </row>
    <row r="164" spans="1:18" ht="95.25" customHeight="1">
      <c r="A164" s="243" t="s">
        <v>115</v>
      </c>
      <c r="B164" s="405" t="s">
        <v>181</v>
      </c>
      <c r="C164" s="245" t="s">
        <v>9</v>
      </c>
      <c r="D164" s="246" t="s">
        <v>117</v>
      </c>
      <c r="E164" s="246" t="s">
        <v>118</v>
      </c>
      <c r="F164" s="247" t="s">
        <v>119</v>
      </c>
      <c r="G164" s="246" t="s">
        <v>120</v>
      </c>
      <c r="H164" s="246" t="s">
        <v>121</v>
      </c>
      <c r="I164" s="248" t="s">
        <v>122</v>
      </c>
      <c r="J164" s="249" t="s">
        <v>123</v>
      </c>
      <c r="K164" s="249" t="s">
        <v>124</v>
      </c>
      <c r="L164" s="406"/>
    </row>
    <row r="165" spans="1:18" ht="15.75" customHeight="1">
      <c r="A165" s="1878"/>
      <c r="B165" s="1992"/>
      <c r="C165" s="251">
        <v>2014</v>
      </c>
      <c r="D165" s="175"/>
      <c r="E165" s="175"/>
      <c r="F165" s="175"/>
      <c r="G165" s="175"/>
      <c r="H165" s="175"/>
      <c r="I165" s="176"/>
      <c r="J165" s="252">
        <f>SUM(D165,F165,H165)</f>
        <v>0</v>
      </c>
      <c r="K165" s="253">
        <f>SUM(E165,G165,I165)</f>
        <v>0</v>
      </c>
      <c r="L165" s="406"/>
    </row>
    <row r="166" spans="1:18">
      <c r="A166" s="1993"/>
      <c r="B166" s="1987"/>
      <c r="C166" s="254">
        <v>2015</v>
      </c>
      <c r="D166" s="255"/>
      <c r="E166" s="255"/>
      <c r="F166" s="255"/>
      <c r="G166" s="255"/>
      <c r="H166" s="255"/>
      <c r="I166" s="256"/>
      <c r="J166" s="407">
        <f t="shared" ref="J166:K171" si="17">SUM(D166,F166,H166)</f>
        <v>0</v>
      </c>
      <c r="K166" s="408">
        <f t="shared" si="17"/>
        <v>0</v>
      </c>
      <c r="L166" s="406"/>
    </row>
    <row r="167" spans="1:18">
      <c r="A167" s="1993"/>
      <c r="B167" s="1987"/>
      <c r="C167" s="254">
        <v>2016</v>
      </c>
      <c r="D167" s="255"/>
      <c r="E167" s="255"/>
      <c r="F167" s="255"/>
      <c r="G167" s="255"/>
      <c r="H167" s="255"/>
      <c r="I167" s="256"/>
      <c r="J167" s="407">
        <f t="shared" si="17"/>
        <v>0</v>
      </c>
      <c r="K167" s="408">
        <f t="shared" si="17"/>
        <v>0</v>
      </c>
    </row>
    <row r="168" spans="1:18">
      <c r="A168" s="1993"/>
      <c r="B168" s="1987"/>
      <c r="C168" s="254">
        <v>2017</v>
      </c>
      <c r="D168" s="255"/>
      <c r="E168" s="165"/>
      <c r="F168" s="255"/>
      <c r="G168" s="255"/>
      <c r="H168" s="255"/>
      <c r="I168" s="256"/>
      <c r="J168" s="407">
        <f t="shared" si="17"/>
        <v>0</v>
      </c>
      <c r="K168" s="408">
        <f t="shared" si="17"/>
        <v>0</v>
      </c>
    </row>
    <row r="169" spans="1:18">
      <c r="A169" s="1993"/>
      <c r="B169" s="1987"/>
      <c r="C169" s="262">
        <v>2018</v>
      </c>
      <c r="D169" s="255"/>
      <c r="E169" s="255"/>
      <c r="F169" s="255"/>
      <c r="G169" s="263"/>
      <c r="H169" s="255"/>
      <c r="I169" s="256"/>
      <c r="J169" s="407">
        <f t="shared" si="17"/>
        <v>0</v>
      </c>
      <c r="K169" s="408">
        <f t="shared" si="17"/>
        <v>0</v>
      </c>
      <c r="L169" s="406"/>
    </row>
    <row r="170" spans="1:18">
      <c r="A170" s="1993"/>
      <c r="B170" s="1987"/>
      <c r="C170" s="254">
        <v>2019</v>
      </c>
      <c r="D170" s="165"/>
      <c r="E170" s="255"/>
      <c r="F170" s="255"/>
      <c r="G170" s="255"/>
      <c r="H170" s="263"/>
      <c r="I170" s="256"/>
      <c r="J170" s="407">
        <f t="shared" si="17"/>
        <v>0</v>
      </c>
      <c r="K170" s="408">
        <f t="shared" si="17"/>
        <v>0</v>
      </c>
      <c r="L170" s="406"/>
    </row>
    <row r="171" spans="1:18">
      <c r="A171" s="1993"/>
      <c r="B171" s="1987"/>
      <c r="C171" s="262">
        <v>2020</v>
      </c>
      <c r="D171" s="255"/>
      <c r="E171" s="255"/>
      <c r="F171" s="255"/>
      <c r="G171" s="255"/>
      <c r="H171" s="255"/>
      <c r="I171" s="256"/>
      <c r="J171" s="407">
        <f t="shared" si="17"/>
        <v>0</v>
      </c>
      <c r="K171" s="408">
        <f t="shared" si="17"/>
        <v>0</v>
      </c>
      <c r="L171" s="406"/>
    </row>
    <row r="172" spans="1:18" ht="41.25" customHeight="1" thickBot="1">
      <c r="A172" s="1994"/>
      <c r="B172" s="1990"/>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406"/>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481" t="s">
        <v>126</v>
      </c>
      <c r="B174" s="270"/>
      <c r="C174" s="271"/>
      <c r="D174" s="271"/>
      <c r="E174" s="271"/>
      <c r="F174" s="271"/>
      <c r="G174" s="271"/>
      <c r="H174" s="271"/>
      <c r="I174" s="271"/>
      <c r="J174" s="271"/>
      <c r="K174" s="271"/>
      <c r="L174" s="271"/>
      <c r="M174" s="271"/>
      <c r="N174" s="271"/>
      <c r="O174" s="271"/>
    </row>
    <row r="175" spans="1:18" ht="21.75" thickBot="1">
      <c r="A175" s="482"/>
      <c r="B175" s="272"/>
    </row>
    <row r="176" spans="1:18" s="56" customFormat="1" ht="22.5" customHeight="1" thickBot="1">
      <c r="A176" s="1884" t="s">
        <v>127</v>
      </c>
      <c r="B176" s="1863" t="s">
        <v>182</v>
      </c>
      <c r="C176" s="1886" t="s">
        <v>9</v>
      </c>
      <c r="D176" s="273" t="s">
        <v>128</v>
      </c>
      <c r="E176" s="274"/>
      <c r="F176" s="274"/>
      <c r="G176" s="275"/>
      <c r="H176" s="276"/>
      <c r="I176" s="1888" t="s">
        <v>129</v>
      </c>
      <c r="J176" s="1889"/>
      <c r="K176" s="1889"/>
      <c r="L176" s="1889"/>
      <c r="M176" s="1889"/>
      <c r="N176" s="1889"/>
      <c r="O176" s="1890"/>
    </row>
    <row r="177" spans="1:15" s="56" customFormat="1" ht="129.7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1984" t="s">
        <v>226</v>
      </c>
      <c r="B178" s="1984" t="s">
        <v>227</v>
      </c>
      <c r="C178" s="106">
        <v>2014</v>
      </c>
      <c r="D178" s="30"/>
      <c r="E178" s="31"/>
      <c r="F178" s="31"/>
      <c r="G178" s="284">
        <f>SUM(D178:F178)</f>
        <v>0</v>
      </c>
      <c r="H178" s="155"/>
      <c r="I178" s="155"/>
      <c r="J178" s="31"/>
      <c r="K178" s="31"/>
      <c r="L178" s="31"/>
      <c r="M178" s="31"/>
      <c r="N178" s="31"/>
      <c r="O178" s="34"/>
    </row>
    <row r="179" spans="1:15">
      <c r="A179" s="1984"/>
      <c r="B179" s="1984"/>
      <c r="C179" s="110">
        <v>2015</v>
      </c>
      <c r="D179" s="37">
        <v>2</v>
      </c>
      <c r="E179" s="38"/>
      <c r="F179" s="38"/>
      <c r="G179" s="284">
        <f t="shared" ref="G179:G184" si="19">SUM(D179:F179)</f>
        <v>2</v>
      </c>
      <c r="H179" s="411">
        <v>2</v>
      </c>
      <c r="I179" s="112"/>
      <c r="J179" s="38"/>
      <c r="K179" s="38"/>
      <c r="L179" s="38"/>
      <c r="M179" s="38">
        <v>2</v>
      </c>
      <c r="N179" s="38"/>
      <c r="O179" s="88"/>
    </row>
    <row r="180" spans="1:15">
      <c r="A180" s="1984"/>
      <c r="B180" s="1984"/>
      <c r="C180" s="110">
        <v>2016</v>
      </c>
      <c r="D180" s="37">
        <v>3</v>
      </c>
      <c r="E180" s="38"/>
      <c r="F180" s="38"/>
      <c r="G180" s="284">
        <f t="shared" si="19"/>
        <v>3</v>
      </c>
      <c r="H180" s="411">
        <v>3</v>
      </c>
      <c r="I180" s="112"/>
      <c r="J180" s="38"/>
      <c r="K180" s="38"/>
      <c r="L180" s="38"/>
      <c r="M180" s="38">
        <v>3</v>
      </c>
      <c r="N180" s="38"/>
      <c r="O180" s="88"/>
    </row>
    <row r="181" spans="1:15">
      <c r="A181" s="1984"/>
      <c r="B181" s="1984"/>
      <c r="C181" s="110">
        <v>2017</v>
      </c>
      <c r="D181" s="37">
        <v>5</v>
      </c>
      <c r="E181" s="38">
        <v>3</v>
      </c>
      <c r="F181" s="38"/>
      <c r="G181" s="284">
        <f t="shared" si="19"/>
        <v>8</v>
      </c>
      <c r="H181" s="411">
        <v>20</v>
      </c>
      <c r="I181" s="112"/>
      <c r="J181" s="38">
        <v>2</v>
      </c>
      <c r="K181" s="38"/>
      <c r="L181" s="38">
        <v>5</v>
      </c>
      <c r="M181" s="38">
        <v>1</v>
      </c>
      <c r="N181" s="38"/>
      <c r="O181" s="88"/>
    </row>
    <row r="182" spans="1:15">
      <c r="A182" s="1984"/>
      <c r="B182" s="1984"/>
      <c r="C182" s="110">
        <v>2018</v>
      </c>
      <c r="D182" s="37"/>
      <c r="E182" s="38"/>
      <c r="F182" s="38"/>
      <c r="G182" s="284">
        <f t="shared" si="19"/>
        <v>0</v>
      </c>
      <c r="H182" s="411"/>
      <c r="I182" s="112"/>
      <c r="J182" s="38"/>
      <c r="K182" s="38"/>
      <c r="L182" s="38"/>
      <c r="M182" s="38"/>
      <c r="N182" s="38"/>
      <c r="O182" s="88"/>
    </row>
    <row r="183" spans="1:15">
      <c r="A183" s="1984"/>
      <c r="B183" s="1984"/>
      <c r="C183" s="110">
        <v>2019</v>
      </c>
      <c r="D183" s="37"/>
      <c r="E183" s="38"/>
      <c r="F183" s="38"/>
      <c r="G183" s="284">
        <f t="shared" si="19"/>
        <v>0</v>
      </c>
      <c r="H183" s="411"/>
      <c r="I183" s="112"/>
      <c r="J183" s="38"/>
      <c r="K183" s="38"/>
      <c r="L183" s="38"/>
      <c r="M183" s="38"/>
      <c r="N183" s="38"/>
      <c r="O183" s="88"/>
    </row>
    <row r="184" spans="1:15">
      <c r="A184" s="1984"/>
      <c r="B184" s="1984"/>
      <c r="C184" s="110">
        <v>2020</v>
      </c>
      <c r="D184" s="37"/>
      <c r="E184" s="38"/>
      <c r="F184" s="38"/>
      <c r="G184" s="284">
        <f t="shared" si="19"/>
        <v>0</v>
      </c>
      <c r="H184" s="411"/>
      <c r="I184" s="112"/>
      <c r="J184" s="38"/>
      <c r="K184" s="38"/>
      <c r="L184" s="38"/>
      <c r="M184" s="38"/>
      <c r="N184" s="38"/>
      <c r="O184" s="88"/>
    </row>
    <row r="185" spans="1:15" ht="45" customHeight="1" thickBot="1">
      <c r="A185" s="1985"/>
      <c r="B185" s="1985"/>
      <c r="C185" s="113" t="s">
        <v>13</v>
      </c>
      <c r="D185" s="139">
        <f>SUM(D178:D184)</f>
        <v>10</v>
      </c>
      <c r="E185" s="116">
        <f>SUM(E178:E184)</f>
        <v>3</v>
      </c>
      <c r="F185" s="116">
        <f>SUM(F178:F184)</f>
        <v>0</v>
      </c>
      <c r="G185" s="220">
        <f t="shared" ref="G185:O185" si="20">SUM(G178:G184)</f>
        <v>13</v>
      </c>
      <c r="H185" s="285">
        <f t="shared" si="20"/>
        <v>25</v>
      </c>
      <c r="I185" s="115">
        <f t="shared" si="20"/>
        <v>0</v>
      </c>
      <c r="J185" s="116">
        <f t="shared" si="20"/>
        <v>2</v>
      </c>
      <c r="K185" s="116">
        <f t="shared" si="20"/>
        <v>0</v>
      </c>
      <c r="L185" s="116">
        <f t="shared" si="20"/>
        <v>5</v>
      </c>
      <c r="M185" s="116">
        <f t="shared" si="20"/>
        <v>6</v>
      </c>
      <c r="N185" s="116">
        <f t="shared" si="20"/>
        <v>0</v>
      </c>
      <c r="O185" s="117">
        <f t="shared" si="20"/>
        <v>0</v>
      </c>
    </row>
    <row r="186" spans="1:15" ht="33" customHeight="1" thickBot="1"/>
    <row r="187" spans="1:15" ht="19.5" customHeight="1">
      <c r="A187" s="1861" t="s">
        <v>137</v>
      </c>
      <c r="B187" s="1863" t="s">
        <v>182</v>
      </c>
      <c r="C187" s="1865" t="s">
        <v>9</v>
      </c>
      <c r="D187" s="1867" t="s">
        <v>138</v>
      </c>
      <c r="E187" s="1868"/>
      <c r="F187" s="1868"/>
      <c r="G187" s="1869"/>
      <c r="H187" s="1870" t="s">
        <v>139</v>
      </c>
      <c r="I187" s="1865"/>
      <c r="J187" s="1865"/>
      <c r="K187" s="1865"/>
      <c r="L187" s="1871"/>
    </row>
    <row r="188" spans="1:15" ht="90" customHeight="1">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1974" t="s">
        <v>228</v>
      </c>
      <c r="B189" s="1984" t="s">
        <v>229</v>
      </c>
      <c r="C189" s="290">
        <v>2014</v>
      </c>
      <c r="D189" s="133"/>
      <c r="E189" s="109"/>
      <c r="F189" s="109"/>
      <c r="G189" s="291">
        <f>SUM(D189:F189)</f>
        <v>0</v>
      </c>
      <c r="H189" s="108"/>
      <c r="I189" s="109"/>
      <c r="J189" s="109"/>
      <c r="K189" s="109"/>
      <c r="L189" s="134"/>
    </row>
    <row r="190" spans="1:15">
      <c r="A190" s="1974"/>
      <c r="B190" s="1984"/>
      <c r="C190" s="73">
        <v>2015</v>
      </c>
      <c r="D190" s="37">
        <v>440</v>
      </c>
      <c r="E190" s="38"/>
      <c r="F190" s="38"/>
      <c r="G190" s="291">
        <f t="shared" ref="G190:G195" si="21">SUM(D190:F190)</f>
        <v>440</v>
      </c>
      <c r="H190" s="112"/>
      <c r="I190" s="38">
        <v>50</v>
      </c>
      <c r="J190" s="38"/>
      <c r="K190" s="38">
        <v>390</v>
      </c>
      <c r="L190" s="88"/>
    </row>
    <row r="191" spans="1:15">
      <c r="A191" s="1974"/>
      <c r="B191" s="1984"/>
      <c r="C191" s="73">
        <v>2016</v>
      </c>
      <c r="D191" s="37">
        <v>165</v>
      </c>
      <c r="E191" s="38"/>
      <c r="F191" s="38"/>
      <c r="G191" s="291">
        <f t="shared" si="21"/>
        <v>165</v>
      </c>
      <c r="H191" s="112"/>
      <c r="I191" s="38">
        <v>142</v>
      </c>
      <c r="J191" s="38"/>
      <c r="K191" s="38"/>
      <c r="L191" s="88">
        <v>23</v>
      </c>
    </row>
    <row r="192" spans="1:15">
      <c r="A192" s="1974"/>
      <c r="B192" s="1984"/>
      <c r="C192" s="73">
        <v>2017</v>
      </c>
      <c r="D192" s="37">
        <v>195</v>
      </c>
      <c r="E192" s="38">
        <v>83</v>
      </c>
      <c r="F192" s="38"/>
      <c r="G192" s="291">
        <f t="shared" si="21"/>
        <v>278</v>
      </c>
      <c r="H192" s="112"/>
      <c r="I192" s="38">
        <v>127</v>
      </c>
      <c r="J192" s="38"/>
      <c r="K192" s="38">
        <v>119</v>
      </c>
      <c r="L192" s="88">
        <v>32</v>
      </c>
    </row>
    <row r="193" spans="1:14">
      <c r="A193" s="1974"/>
      <c r="B193" s="1984"/>
      <c r="C193" s="73">
        <v>2018</v>
      </c>
      <c r="D193" s="37"/>
      <c r="E193" s="38"/>
      <c r="F193" s="38"/>
      <c r="G193" s="291">
        <f t="shared" si="21"/>
        <v>0</v>
      </c>
      <c r="H193" s="112"/>
      <c r="I193" s="38"/>
      <c r="J193" s="38"/>
      <c r="K193" s="38"/>
      <c r="L193" s="88"/>
    </row>
    <row r="194" spans="1:14">
      <c r="A194" s="1974"/>
      <c r="B194" s="1984"/>
      <c r="C194" s="73">
        <v>2019</v>
      </c>
      <c r="D194" s="37"/>
      <c r="E194" s="38"/>
      <c r="F194" s="38"/>
      <c r="G194" s="291">
        <f t="shared" si="21"/>
        <v>0</v>
      </c>
      <c r="H194" s="112"/>
      <c r="I194" s="38"/>
      <c r="J194" s="38"/>
      <c r="K194" s="38"/>
      <c r="L194" s="88"/>
    </row>
    <row r="195" spans="1:14">
      <c r="A195" s="1974"/>
      <c r="B195" s="1984"/>
      <c r="C195" s="73">
        <v>2020</v>
      </c>
      <c r="D195" s="37"/>
      <c r="E195" s="38"/>
      <c r="F195" s="38"/>
      <c r="G195" s="291">
        <f t="shared" si="21"/>
        <v>0</v>
      </c>
      <c r="H195" s="112"/>
      <c r="I195" s="38"/>
      <c r="J195" s="38"/>
      <c r="K195" s="38"/>
      <c r="L195" s="88"/>
    </row>
    <row r="196" spans="1:14" ht="15.75" thickBot="1">
      <c r="A196" s="1975"/>
      <c r="B196" s="1985"/>
      <c r="C196" s="136" t="s">
        <v>13</v>
      </c>
      <c r="D196" s="139">
        <f t="shared" ref="D196:L196" si="22">SUM(D189:D195)</f>
        <v>800</v>
      </c>
      <c r="E196" s="116">
        <f t="shared" si="22"/>
        <v>83</v>
      </c>
      <c r="F196" s="116">
        <f t="shared" si="22"/>
        <v>0</v>
      </c>
      <c r="G196" s="292">
        <f t="shared" si="22"/>
        <v>883</v>
      </c>
      <c r="H196" s="115">
        <f t="shared" si="22"/>
        <v>0</v>
      </c>
      <c r="I196" s="116">
        <f t="shared" si="22"/>
        <v>319</v>
      </c>
      <c r="J196" s="116">
        <f t="shared" si="22"/>
        <v>0</v>
      </c>
      <c r="K196" s="116">
        <f t="shared" si="22"/>
        <v>509</v>
      </c>
      <c r="L196" s="117">
        <f t="shared" si="22"/>
        <v>55</v>
      </c>
    </row>
    <row r="199" spans="1:14" ht="21">
      <c r="A199" s="483" t="s">
        <v>149</v>
      </c>
      <c r="B199" s="293"/>
      <c r="C199" s="294"/>
      <c r="D199" s="294"/>
      <c r="E199" s="294"/>
      <c r="F199" s="294"/>
      <c r="G199" s="294"/>
      <c r="H199" s="294"/>
      <c r="I199" s="294"/>
      <c r="J199" s="294"/>
      <c r="K199" s="294"/>
      <c r="L199" s="294"/>
      <c r="M199" s="65"/>
      <c r="N199" s="65"/>
    </row>
    <row r="200" spans="1:14" ht="10.5" customHeight="1" thickBot="1">
      <c r="A200" s="484"/>
      <c r="B200" s="295"/>
      <c r="C200" s="294"/>
      <c r="D200" s="294"/>
      <c r="E200" s="294"/>
      <c r="F200" s="294"/>
      <c r="G200" s="294"/>
      <c r="H200" s="294"/>
      <c r="I200" s="294"/>
      <c r="J200" s="294"/>
      <c r="K200" s="294"/>
      <c r="L200" s="294"/>
    </row>
    <row r="201" spans="1:14" s="56" customFormat="1" ht="101.25" customHeight="1">
      <c r="A201" s="485" t="s">
        <v>150</v>
      </c>
      <c r="B201" s="417" t="s">
        <v>182</v>
      </c>
      <c r="C201" s="298" t="s">
        <v>9</v>
      </c>
      <c r="D201" s="299" t="s">
        <v>151</v>
      </c>
      <c r="E201" s="300" t="s">
        <v>152</v>
      </c>
      <c r="F201" s="300" t="s">
        <v>153</v>
      </c>
      <c r="G201" s="298" t="s">
        <v>154</v>
      </c>
      <c r="H201" s="301" t="s">
        <v>155</v>
      </c>
      <c r="I201" s="302" t="s">
        <v>156</v>
      </c>
      <c r="J201" s="303" t="s">
        <v>157</v>
      </c>
      <c r="K201" s="300" t="s">
        <v>158</v>
      </c>
      <c r="L201" s="304" t="s">
        <v>159</v>
      </c>
    </row>
    <row r="202" spans="1:14" ht="15" customHeight="1">
      <c r="A202" s="1854"/>
      <c r="B202" s="1855"/>
      <c r="C202" s="72">
        <v>2014</v>
      </c>
      <c r="D202" s="30"/>
      <c r="E202" s="31"/>
      <c r="F202" s="31"/>
      <c r="G202" s="29"/>
      <c r="H202" s="305"/>
      <c r="I202" s="306"/>
      <c r="J202" s="307"/>
      <c r="K202" s="31"/>
      <c r="L202" s="34"/>
    </row>
    <row r="203" spans="1:14">
      <c r="A203" s="1854"/>
      <c r="B203" s="1855"/>
      <c r="C203" s="73">
        <v>2015</v>
      </c>
      <c r="D203" s="37"/>
      <c r="E203" s="38"/>
      <c r="F203" s="38"/>
      <c r="G203" s="36"/>
      <c r="H203" s="308"/>
      <c r="I203" s="309"/>
      <c r="J203" s="310"/>
      <c r="K203" s="38"/>
      <c r="L203" s="88"/>
    </row>
    <row r="204" spans="1:14">
      <c r="A204" s="1854"/>
      <c r="B204" s="1855"/>
      <c r="C204" s="73">
        <v>2016</v>
      </c>
      <c r="D204" s="37"/>
      <c r="E204" s="38"/>
      <c r="F204" s="38"/>
      <c r="G204" s="36"/>
      <c r="H204" s="308"/>
      <c r="I204" s="309"/>
      <c r="J204" s="310"/>
      <c r="K204" s="38"/>
      <c r="L204" s="88"/>
    </row>
    <row r="205" spans="1:14">
      <c r="A205" s="1854"/>
      <c r="B205" s="1855"/>
      <c r="C205" s="73">
        <v>2017</v>
      </c>
      <c r="D205" s="37"/>
      <c r="E205" s="38"/>
      <c r="F205" s="38"/>
      <c r="G205" s="36"/>
      <c r="H205" s="308"/>
      <c r="I205" s="309"/>
      <c r="J205" s="310"/>
      <c r="K205" s="38"/>
      <c r="L205" s="88"/>
    </row>
    <row r="206" spans="1:14">
      <c r="A206" s="1854"/>
      <c r="B206" s="1855"/>
      <c r="C206" s="73">
        <v>2018</v>
      </c>
      <c r="D206" s="37"/>
      <c r="E206" s="38"/>
      <c r="F206" s="38"/>
      <c r="G206" s="36"/>
      <c r="H206" s="308"/>
      <c r="I206" s="309"/>
      <c r="J206" s="310"/>
      <c r="K206" s="38"/>
      <c r="L206" s="88"/>
    </row>
    <row r="207" spans="1:14">
      <c r="A207" s="1854"/>
      <c r="B207" s="1855"/>
      <c r="C207" s="73">
        <v>2019</v>
      </c>
      <c r="D207" s="37"/>
      <c r="E207" s="38"/>
      <c r="F207" s="38"/>
      <c r="G207" s="36"/>
      <c r="H207" s="308"/>
      <c r="I207" s="309"/>
      <c r="J207" s="310"/>
      <c r="K207" s="38"/>
      <c r="L207" s="88"/>
    </row>
    <row r="208" spans="1:14">
      <c r="A208" s="1854"/>
      <c r="B208" s="1855"/>
      <c r="C208" s="73">
        <v>2020</v>
      </c>
      <c r="D208" s="311"/>
      <c r="E208" s="312"/>
      <c r="F208" s="312"/>
      <c r="G208" s="313"/>
      <c r="H208" s="314"/>
      <c r="I208" s="315"/>
      <c r="J208" s="316"/>
      <c r="K208" s="312"/>
      <c r="L208" s="317"/>
    </row>
    <row r="209" spans="1:12" ht="20.25" customHeight="1" thickBot="1">
      <c r="A209" s="1856"/>
      <c r="B209" s="1857"/>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0</v>
      </c>
      <c r="K209" s="139">
        <f t="shared" si="23"/>
        <v>0</v>
      </c>
      <c r="L209" s="139">
        <f t="shared" si="23"/>
        <v>0</v>
      </c>
    </row>
    <row r="211" spans="1:12" ht="15.75" thickBot="1"/>
    <row r="212" spans="1:12" ht="29.25">
      <c r="A212" s="486" t="s">
        <v>161</v>
      </c>
      <c r="B212" s="322" t="s">
        <v>162</v>
      </c>
      <c r="C212" s="323">
        <v>2014</v>
      </c>
      <c r="D212" s="324">
        <v>2015</v>
      </c>
      <c r="E212" s="324">
        <v>2016</v>
      </c>
      <c r="F212" s="324">
        <v>2017</v>
      </c>
      <c r="G212" s="324">
        <v>2018</v>
      </c>
      <c r="H212" s="324">
        <v>2019</v>
      </c>
      <c r="I212" s="325">
        <v>2020</v>
      </c>
    </row>
    <row r="213" spans="1:12" ht="15" customHeight="1">
      <c r="A213" s="7" t="s">
        <v>163</v>
      </c>
      <c r="B213" s="1986" t="s">
        <v>230</v>
      </c>
      <c r="C213" s="72"/>
      <c r="D213" s="328">
        <v>549033.13</v>
      </c>
      <c r="E213" s="328">
        <f>1132917.39+615</f>
        <v>1133532.3899999999</v>
      </c>
      <c r="F213" s="328">
        <v>802294.5</v>
      </c>
      <c r="G213" s="135"/>
      <c r="H213" s="135"/>
      <c r="I213" s="326"/>
    </row>
    <row r="214" spans="1:12">
      <c r="A214" s="7" t="s">
        <v>164</v>
      </c>
      <c r="B214" s="1984"/>
      <c r="C214" s="72"/>
      <c r="D214" s="328">
        <v>402308.52</v>
      </c>
      <c r="E214" s="328">
        <v>1012700.4</v>
      </c>
      <c r="F214" s="328">
        <v>377049.99</v>
      </c>
      <c r="G214" s="135"/>
      <c r="H214" s="135"/>
      <c r="I214" s="326"/>
    </row>
    <row r="215" spans="1:12">
      <c r="A215" s="7" t="s">
        <v>165</v>
      </c>
      <c r="B215" s="1984"/>
      <c r="C215" s="72"/>
      <c r="D215" s="328">
        <v>0</v>
      </c>
      <c r="E215" s="328">
        <v>14546</v>
      </c>
      <c r="F215" s="328">
        <v>3876</v>
      </c>
      <c r="G215" s="135"/>
      <c r="H215" s="135"/>
      <c r="I215" s="326"/>
    </row>
    <row r="216" spans="1:12">
      <c r="A216" s="7" t="s">
        <v>166</v>
      </c>
      <c r="B216" s="1984"/>
      <c r="C216" s="72"/>
      <c r="D216" s="328">
        <v>146724.60999999999</v>
      </c>
      <c r="E216" s="328">
        <f>94314.99+615</f>
        <v>94929.99</v>
      </c>
      <c r="F216" s="328">
        <v>68601.25</v>
      </c>
      <c r="G216" s="135"/>
      <c r="H216" s="135"/>
      <c r="I216" s="326"/>
    </row>
    <row r="217" spans="1:12">
      <c r="A217" s="7" t="s">
        <v>167</v>
      </c>
      <c r="B217" s="1984"/>
      <c r="C217" s="72"/>
      <c r="D217" s="328">
        <v>0</v>
      </c>
      <c r="E217" s="328">
        <v>11356</v>
      </c>
      <c r="F217" s="328">
        <v>352767.26</v>
      </c>
      <c r="G217" s="135"/>
      <c r="H217" s="135"/>
      <c r="I217" s="326"/>
    </row>
    <row r="218" spans="1:12" ht="30">
      <c r="A218" s="51" t="s">
        <v>168</v>
      </c>
      <c r="B218" s="1984"/>
      <c r="C218" s="72"/>
      <c r="D218" s="487">
        <v>102907.23</v>
      </c>
      <c r="E218" s="487">
        <v>368221.83</v>
      </c>
      <c r="F218" s="328">
        <v>320321.28999999998</v>
      </c>
      <c r="G218" s="135"/>
      <c r="H218" s="135"/>
      <c r="I218" s="326"/>
    </row>
    <row r="219" spans="1:12" ht="15.75" thickBot="1">
      <c r="A219" s="331"/>
      <c r="B219" s="1985"/>
      <c r="C219" s="42" t="s">
        <v>13</v>
      </c>
      <c r="D219" s="333">
        <f>SUM(D214:D218)</f>
        <v>651940.36</v>
      </c>
      <c r="E219" s="333">
        <f t="shared" ref="E219:I219" si="24">SUM(E214:E218)</f>
        <v>1501754.2200000002</v>
      </c>
      <c r="F219" s="333">
        <f t="shared" si="24"/>
        <v>1122615.79</v>
      </c>
      <c r="G219" s="333">
        <f t="shared" si="24"/>
        <v>0</v>
      </c>
      <c r="H219" s="333">
        <f t="shared" si="24"/>
        <v>0</v>
      </c>
      <c r="I219" s="333">
        <f t="shared" si="24"/>
        <v>0</v>
      </c>
    </row>
    <row r="221" spans="1:12">
      <c r="F221" s="327"/>
    </row>
    <row r="227" spans="1:5">
      <c r="A227" s="51"/>
      <c r="C227" s="466"/>
    </row>
    <row r="228" spans="1:5">
      <c r="C228" s="466"/>
    </row>
    <row r="231" spans="1:5">
      <c r="C231" s="466"/>
    </row>
    <row r="236" spans="1:5">
      <c r="E236" s="466"/>
    </row>
  </sheetData>
  <mergeCells count="63">
    <mergeCell ref="A50:B58"/>
    <mergeCell ref="B1:F1"/>
    <mergeCell ref="F3:O3"/>
    <mergeCell ref="A4:O10"/>
    <mergeCell ref="D15:G15"/>
    <mergeCell ref="A17:A24"/>
    <mergeCell ref="B17:B24"/>
    <mergeCell ref="D26:G26"/>
    <mergeCell ref="A28:A35"/>
    <mergeCell ref="B28:B35"/>
    <mergeCell ref="A40:A47"/>
    <mergeCell ref="B40:B47"/>
    <mergeCell ref="A60:A61"/>
    <mergeCell ref="C60:C61"/>
    <mergeCell ref="D60:D61"/>
    <mergeCell ref="A62:B69"/>
    <mergeCell ref="A72:A79"/>
    <mergeCell ref="B72:B79"/>
    <mergeCell ref="A118:A119"/>
    <mergeCell ref="B118:B119"/>
    <mergeCell ref="C118:C119"/>
    <mergeCell ref="D118:D119"/>
    <mergeCell ref="A85:B92"/>
    <mergeCell ref="A96:A97"/>
    <mergeCell ref="B96:B97"/>
    <mergeCell ref="C96:C97"/>
    <mergeCell ref="D96:E96"/>
    <mergeCell ref="A98:B105"/>
    <mergeCell ref="A107:A108"/>
    <mergeCell ref="B107:B108"/>
    <mergeCell ref="C107:C108"/>
    <mergeCell ref="D107:D108"/>
    <mergeCell ref="A109:B116"/>
    <mergeCell ref="A120:B127"/>
    <mergeCell ref="A129:A130"/>
    <mergeCell ref="B129:B130"/>
    <mergeCell ref="A131:A137"/>
    <mergeCell ref="B131:B137"/>
    <mergeCell ref="I176:O176"/>
    <mergeCell ref="C142:C143"/>
    <mergeCell ref="J142:N142"/>
    <mergeCell ref="A144:B151"/>
    <mergeCell ref="A153:A154"/>
    <mergeCell ref="B153:B154"/>
    <mergeCell ref="C153:C154"/>
    <mergeCell ref="A142:A143"/>
    <mergeCell ref="B142:B143"/>
    <mergeCell ref="A155:B162"/>
    <mergeCell ref="A165:B172"/>
    <mergeCell ref="A176:A177"/>
    <mergeCell ref="B176:B177"/>
    <mergeCell ref="C176:C177"/>
    <mergeCell ref="A178:A185"/>
    <mergeCell ref="B178:B185"/>
    <mergeCell ref="A187:A188"/>
    <mergeCell ref="B187:B188"/>
    <mergeCell ref="C187:C188"/>
    <mergeCell ref="H187:L187"/>
    <mergeCell ref="A189:A196"/>
    <mergeCell ref="B189:B196"/>
    <mergeCell ref="A202:B209"/>
    <mergeCell ref="B213:B219"/>
    <mergeCell ref="D187:G187"/>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7"/>
  <sheetViews>
    <sheetView topLeftCell="A13" workbookViewId="0">
      <selection activeCell="D219" sqref="D219:F219"/>
    </sheetView>
  </sheetViews>
  <sheetFormatPr defaultColWidth="8.85546875" defaultRowHeight="15"/>
  <cols>
    <col min="1" max="1" width="91" customWidth="1"/>
    <col min="2" max="2" width="35" customWidth="1"/>
    <col min="3" max="3" width="16.140625" customWidth="1"/>
    <col min="4" max="4" width="12.7109375" customWidth="1"/>
    <col min="5" max="5" width="11.42578125" customWidth="1"/>
    <col min="6" max="6" width="12.140625" customWidth="1"/>
    <col min="7" max="7" width="17.7109375" customWidth="1"/>
    <col min="8" max="8" width="13.5703125" customWidth="1"/>
    <col min="9" max="9" width="9.140625" customWidth="1"/>
    <col min="10" max="10" width="13.7109375" customWidth="1"/>
    <col min="11" max="11" width="11" customWidth="1"/>
    <col min="12" max="12" width="9.85546875" customWidth="1"/>
    <col min="13" max="13" width="11.140625" customWidth="1"/>
    <col min="14" max="14" width="9.28515625" customWidth="1"/>
    <col min="15" max="15" width="10.140625" customWidth="1"/>
    <col min="16" max="25" width="13.7109375" customWidth="1"/>
  </cols>
  <sheetData>
    <row r="1" spans="1:25" s="1" customFormat="1" ht="31.5">
      <c r="A1" s="334" t="s">
        <v>0</v>
      </c>
      <c r="B1" s="1943" t="s">
        <v>491</v>
      </c>
      <c r="C1" s="1944"/>
      <c r="D1" s="1944"/>
      <c r="E1" s="1944"/>
      <c r="F1" s="1944"/>
    </row>
    <row r="2" spans="1:25" s="1" customFormat="1" ht="20.100000000000001" customHeight="1" thickBot="1"/>
    <row r="3" spans="1:25" s="4" customFormat="1" ht="20.100000000000001" customHeight="1">
      <c r="A3" s="1536" t="s">
        <v>2</v>
      </c>
      <c r="B3" s="1585"/>
      <c r="C3" s="1585"/>
      <c r="D3" s="1585"/>
      <c r="E3" s="1585"/>
      <c r="F3" s="2418"/>
      <c r="G3" s="2418"/>
      <c r="H3" s="2418"/>
      <c r="I3" s="2418"/>
      <c r="J3" s="2418"/>
      <c r="K3" s="2418"/>
      <c r="L3" s="2418"/>
      <c r="M3" s="2418"/>
      <c r="N3" s="2418"/>
      <c r="O3" s="2522"/>
    </row>
    <row r="4" spans="1:25" s="4" customFormat="1" ht="20.100000000000001" customHeight="1">
      <c r="A4" s="2420" t="s">
        <v>170</v>
      </c>
      <c r="B4" s="1948"/>
      <c r="C4" s="1948"/>
      <c r="D4" s="1948"/>
      <c r="E4" s="1948"/>
      <c r="F4" s="1948"/>
      <c r="G4" s="1948"/>
      <c r="H4" s="1948"/>
      <c r="I4" s="1948"/>
      <c r="J4" s="1948"/>
      <c r="K4" s="1948"/>
      <c r="L4" s="1948"/>
      <c r="M4" s="1948"/>
      <c r="N4" s="1948"/>
      <c r="O4" s="1949"/>
    </row>
    <row r="5" spans="1:25" s="4" customFormat="1" ht="20.100000000000001" customHeight="1">
      <c r="A5" s="2420"/>
      <c r="B5" s="1948"/>
      <c r="C5" s="1948"/>
      <c r="D5" s="1948"/>
      <c r="E5" s="1948"/>
      <c r="F5" s="1948"/>
      <c r="G5" s="1948"/>
      <c r="H5" s="1948"/>
      <c r="I5" s="1948"/>
      <c r="J5" s="1948"/>
      <c r="K5" s="1948"/>
      <c r="L5" s="1948"/>
      <c r="M5" s="1948"/>
      <c r="N5" s="1948"/>
      <c r="O5" s="1949"/>
    </row>
    <row r="6" spans="1:25" s="4" customFormat="1" ht="20.100000000000001" customHeight="1">
      <c r="A6" s="2420"/>
      <c r="B6" s="1948"/>
      <c r="C6" s="1948"/>
      <c r="D6" s="1948"/>
      <c r="E6" s="1948"/>
      <c r="F6" s="1948"/>
      <c r="G6" s="1948"/>
      <c r="H6" s="1948"/>
      <c r="I6" s="1948"/>
      <c r="J6" s="1948"/>
      <c r="K6" s="1948"/>
      <c r="L6" s="1948"/>
      <c r="M6" s="1948"/>
      <c r="N6" s="1948"/>
      <c r="O6" s="1949"/>
    </row>
    <row r="7" spans="1:25" s="4" customFormat="1" ht="20.100000000000001" customHeight="1">
      <c r="A7" s="2420"/>
      <c r="B7" s="1948"/>
      <c r="C7" s="1948"/>
      <c r="D7" s="1948"/>
      <c r="E7" s="1948"/>
      <c r="F7" s="1948"/>
      <c r="G7" s="1948"/>
      <c r="H7" s="1948"/>
      <c r="I7" s="1948"/>
      <c r="J7" s="1948"/>
      <c r="K7" s="1948"/>
      <c r="L7" s="1948"/>
      <c r="M7" s="1948"/>
      <c r="N7" s="1948"/>
      <c r="O7" s="1949"/>
    </row>
    <row r="8" spans="1:25" s="4" customFormat="1" ht="20.100000000000001" customHeight="1">
      <c r="A8" s="2420"/>
      <c r="B8" s="1948"/>
      <c r="C8" s="1948"/>
      <c r="D8" s="1948"/>
      <c r="E8" s="1948"/>
      <c r="F8" s="1948"/>
      <c r="G8" s="1948"/>
      <c r="H8" s="1948"/>
      <c r="I8" s="1948"/>
      <c r="J8" s="1948"/>
      <c r="K8" s="1948"/>
      <c r="L8" s="1948"/>
      <c r="M8" s="1948"/>
      <c r="N8" s="1948"/>
      <c r="O8" s="1949"/>
    </row>
    <row r="9" spans="1:25" s="4" customFormat="1" ht="20.100000000000001" customHeight="1">
      <c r="A9" s="2420"/>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515"/>
      <c r="B15" s="516"/>
      <c r="C15" s="10"/>
      <c r="D15" s="1953" t="s">
        <v>5</v>
      </c>
      <c r="E15" s="2012"/>
      <c r="F15" s="2012"/>
      <c r="G15" s="2012"/>
      <c r="H15" s="11"/>
      <c r="I15" s="12" t="s">
        <v>6</v>
      </c>
      <c r="J15" s="13"/>
      <c r="K15" s="13"/>
      <c r="L15" s="13"/>
      <c r="M15" s="13"/>
      <c r="N15" s="13"/>
      <c r="O15" s="14"/>
      <c r="P15" s="15"/>
      <c r="Q15" s="16"/>
      <c r="R15" s="17"/>
      <c r="S15" s="17"/>
      <c r="T15" s="17"/>
      <c r="U15" s="17"/>
      <c r="V15" s="17"/>
      <c r="W15" s="15"/>
      <c r="X15" s="15"/>
      <c r="Y15" s="16"/>
    </row>
    <row r="16" spans="1:25" s="56" customFormat="1" ht="105" customHeight="1">
      <c r="A16" s="1692" t="s">
        <v>7</v>
      </c>
      <c r="B16" s="1693" t="s">
        <v>492</v>
      </c>
      <c r="C16" s="1694" t="s">
        <v>9</v>
      </c>
      <c r="D16" s="1695" t="s">
        <v>10</v>
      </c>
      <c r="E16" s="1696" t="s">
        <v>11</v>
      </c>
      <c r="F16" s="1696" t="s">
        <v>12</v>
      </c>
      <c r="G16" s="1697" t="s">
        <v>13</v>
      </c>
      <c r="H16" s="1698" t="s">
        <v>14</v>
      </c>
      <c r="I16" s="1699" t="s">
        <v>15</v>
      </c>
      <c r="J16" s="1699" t="s">
        <v>16</v>
      </c>
      <c r="K16" s="1699" t="s">
        <v>17</v>
      </c>
      <c r="L16" s="1699" t="s">
        <v>18</v>
      </c>
      <c r="M16" s="1700" t="s">
        <v>19</v>
      </c>
      <c r="N16" s="1699" t="s">
        <v>20</v>
      </c>
      <c r="O16" s="1701" t="s">
        <v>21</v>
      </c>
      <c r="P16" s="28"/>
      <c r="Q16" s="28"/>
      <c r="R16" s="28"/>
      <c r="S16" s="28"/>
      <c r="T16" s="28"/>
      <c r="U16" s="28"/>
      <c r="V16" s="28"/>
      <c r="W16" s="28"/>
      <c r="X16" s="28"/>
      <c r="Y16" s="28"/>
    </row>
    <row r="17" spans="1:25" ht="48" customHeight="1">
      <c r="A17" s="1939" t="s">
        <v>493</v>
      </c>
      <c r="B17" s="2386"/>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1939"/>
      <c r="B18" s="2386"/>
      <c r="C18" s="36">
        <v>2015</v>
      </c>
      <c r="D18" s="37">
        <v>3</v>
      </c>
      <c r="E18" s="38"/>
      <c r="F18" s="38"/>
      <c r="G18" s="32">
        <f>SUM(D18:F18)</f>
        <v>3</v>
      </c>
      <c r="H18" s="39">
        <v>3</v>
      </c>
      <c r="I18" s="38"/>
      <c r="J18" s="38"/>
      <c r="K18" s="38"/>
      <c r="L18" s="38"/>
      <c r="M18" s="38"/>
      <c r="N18" s="38"/>
      <c r="O18" s="40"/>
      <c r="P18" s="35"/>
      <c r="Q18" s="35"/>
      <c r="R18" s="35"/>
      <c r="S18" s="35"/>
      <c r="T18" s="35"/>
      <c r="U18" s="35"/>
      <c r="V18" s="35"/>
      <c r="W18" s="35"/>
      <c r="X18" s="35"/>
      <c r="Y18" s="35"/>
    </row>
    <row r="19" spans="1:25">
      <c r="A19" s="1939"/>
      <c r="B19" s="2386"/>
      <c r="C19" s="36">
        <v>2016</v>
      </c>
      <c r="D19" s="37">
        <f>5+6+21</f>
        <v>32</v>
      </c>
      <c r="E19" s="38"/>
      <c r="F19" s="38"/>
      <c r="G19" s="32">
        <f t="shared" si="0"/>
        <v>32</v>
      </c>
      <c r="H19" s="39">
        <v>32</v>
      </c>
      <c r="I19" s="38"/>
      <c r="J19" s="38"/>
      <c r="K19" s="38"/>
      <c r="L19" s="38"/>
      <c r="M19" s="38"/>
      <c r="N19" s="38"/>
      <c r="O19" s="39"/>
      <c r="P19" s="35"/>
      <c r="Q19" s="35"/>
      <c r="R19" s="35"/>
      <c r="S19" s="35"/>
      <c r="T19" s="35"/>
      <c r="U19" s="35"/>
      <c r="V19" s="35"/>
      <c r="W19" s="35"/>
      <c r="X19" s="35"/>
      <c r="Y19" s="35"/>
    </row>
    <row r="20" spans="1:25">
      <c r="A20" s="1939"/>
      <c r="B20" s="2386"/>
      <c r="C20" s="36">
        <v>2017</v>
      </c>
      <c r="D20" s="37">
        <f>1+1+1+1+1+1+1+13</f>
        <v>20</v>
      </c>
      <c r="E20" s="38"/>
      <c r="F20" s="38"/>
      <c r="G20" s="32">
        <f t="shared" si="0"/>
        <v>20</v>
      </c>
      <c r="H20" s="39">
        <f>D20</f>
        <v>20</v>
      </c>
      <c r="I20" s="38"/>
      <c r="J20" s="38"/>
      <c r="K20" s="38"/>
      <c r="L20" s="38"/>
      <c r="M20" s="38"/>
      <c r="N20" s="38"/>
      <c r="O20" s="39"/>
      <c r="P20" s="35"/>
      <c r="Q20" s="35"/>
      <c r="R20" s="35"/>
      <c r="S20" s="35"/>
      <c r="T20" s="35"/>
      <c r="U20" s="35"/>
      <c r="V20" s="35"/>
      <c r="W20" s="35"/>
      <c r="X20" s="35"/>
      <c r="Y20" s="35"/>
    </row>
    <row r="21" spans="1:25">
      <c r="A21" s="1939"/>
      <c r="B21" s="2386"/>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1939"/>
      <c r="B22" s="2386"/>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1939"/>
      <c r="B23" s="2386"/>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255.75" customHeight="1" thickBot="1">
      <c r="A24" s="2236"/>
      <c r="B24" s="2388"/>
      <c r="C24" s="42" t="s">
        <v>13</v>
      </c>
      <c r="D24" s="43">
        <f>SUM(D17:D23)</f>
        <v>55</v>
      </c>
      <c r="E24" s="44">
        <f>SUM(E17:E23)</f>
        <v>0</v>
      </c>
      <c r="F24" s="44">
        <f>SUM(F17:F23)</f>
        <v>0</v>
      </c>
      <c r="G24" s="45">
        <f>SUM(D24:F24)</f>
        <v>55</v>
      </c>
      <c r="H24" s="46">
        <f>SUM(H17:H23)</f>
        <v>55</v>
      </c>
      <c r="I24" s="47">
        <f>SUM(I17:I23)</f>
        <v>0</v>
      </c>
      <c r="J24" s="47">
        <f t="shared" ref="J24:N24" si="1">SUM(J17:J23)</f>
        <v>0</v>
      </c>
      <c r="K24" s="47">
        <f t="shared" si="1"/>
        <v>0</v>
      </c>
      <c r="L24" s="47">
        <f t="shared" si="1"/>
        <v>0</v>
      </c>
      <c r="M24" s="47">
        <f t="shared" si="1"/>
        <v>0</v>
      </c>
      <c r="N24" s="47">
        <f t="shared" si="1"/>
        <v>0</v>
      </c>
      <c r="O24" s="48">
        <f>SUM(O17:O23)</f>
        <v>0</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515"/>
      <c r="B26" s="516"/>
      <c r="C26" s="50"/>
      <c r="D26" s="1959" t="s">
        <v>5</v>
      </c>
      <c r="E26" s="2071"/>
      <c r="F26" s="2071"/>
      <c r="G26" s="2072"/>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1939" t="s">
        <v>494</v>
      </c>
      <c r="B28" s="2386"/>
      <c r="C28" s="57">
        <v>2014</v>
      </c>
      <c r="D28" s="33"/>
      <c r="E28" s="31"/>
      <c r="F28" s="31"/>
      <c r="G28" s="58">
        <f>SUM(D28:F28)</f>
        <v>0</v>
      </c>
      <c r="H28" s="35"/>
      <c r="I28" s="35"/>
      <c r="J28" s="35"/>
      <c r="K28" s="35"/>
      <c r="L28" s="35"/>
      <c r="M28" s="35"/>
      <c r="N28" s="35"/>
      <c r="O28" s="35"/>
      <c r="P28" s="35"/>
      <c r="Q28" s="7"/>
    </row>
    <row r="29" spans="1:25">
      <c r="A29" s="1939"/>
      <c r="B29" s="2386"/>
      <c r="C29" s="59">
        <v>2015</v>
      </c>
      <c r="D29" s="39">
        <v>80</v>
      </c>
      <c r="E29" s="38"/>
      <c r="F29" s="38"/>
      <c r="G29" s="58">
        <f t="shared" ref="G29:G35" si="2">SUM(D29:F29)</f>
        <v>80</v>
      </c>
      <c r="H29" s="35"/>
      <c r="I29" s="35"/>
      <c r="J29" s="35"/>
      <c r="K29" s="35"/>
      <c r="L29" s="35"/>
      <c r="M29" s="35"/>
      <c r="N29" s="35"/>
      <c r="O29" s="35"/>
      <c r="P29" s="35"/>
      <c r="Q29" s="7"/>
    </row>
    <row r="30" spans="1:25">
      <c r="A30" s="1939"/>
      <c r="B30" s="2386"/>
      <c r="C30" s="59">
        <v>2016</v>
      </c>
      <c r="D30" s="39">
        <f>100+100+80+80+80+315</f>
        <v>755</v>
      </c>
      <c r="E30" s="38"/>
      <c r="F30" s="38"/>
      <c r="G30" s="58">
        <f t="shared" si="2"/>
        <v>755</v>
      </c>
      <c r="H30" s="35"/>
      <c r="I30" s="35"/>
      <c r="J30" s="35"/>
      <c r="K30" s="35"/>
      <c r="L30" s="35"/>
      <c r="M30" s="35"/>
      <c r="N30" s="35"/>
      <c r="O30" s="35"/>
      <c r="P30" s="35"/>
      <c r="Q30" s="7"/>
    </row>
    <row r="31" spans="1:25">
      <c r="A31" s="1939"/>
      <c r="B31" s="2386"/>
      <c r="C31" s="59">
        <v>2017</v>
      </c>
      <c r="D31" s="39">
        <f>19+72+117+74+60+80+50+113+54+61+25+44+80</f>
        <v>849</v>
      </c>
      <c r="E31" s="38"/>
      <c r="F31" s="38"/>
      <c r="G31" s="58">
        <f t="shared" si="2"/>
        <v>849</v>
      </c>
      <c r="H31" s="35"/>
      <c r="I31" s="35"/>
      <c r="J31" s="35"/>
      <c r="K31" s="35"/>
      <c r="L31" s="35"/>
      <c r="M31" s="35"/>
      <c r="N31" s="35"/>
      <c r="O31" s="35"/>
      <c r="P31" s="35"/>
      <c r="Q31" s="7"/>
    </row>
    <row r="32" spans="1:25">
      <c r="A32" s="1939"/>
      <c r="B32" s="2386"/>
      <c r="C32" s="59">
        <v>2018</v>
      </c>
      <c r="D32" s="39"/>
      <c r="E32" s="38"/>
      <c r="F32" s="38"/>
      <c r="G32" s="58">
        <f>SUM(D32:F32)</f>
        <v>0</v>
      </c>
      <c r="H32" s="35"/>
      <c r="I32" s="35"/>
      <c r="J32" s="35"/>
      <c r="K32" s="35"/>
      <c r="L32" s="35"/>
      <c r="M32" s="35"/>
      <c r="N32" s="35"/>
      <c r="O32" s="35"/>
      <c r="P32" s="35"/>
      <c r="Q32" s="7"/>
    </row>
    <row r="33" spans="1:17">
      <c r="A33" s="1939"/>
      <c r="B33" s="2386"/>
      <c r="C33" s="60">
        <v>2019</v>
      </c>
      <c r="D33" s="39"/>
      <c r="E33" s="38"/>
      <c r="F33" s="38"/>
      <c r="G33" s="58">
        <f t="shared" si="2"/>
        <v>0</v>
      </c>
      <c r="H33" s="35"/>
      <c r="I33" s="35"/>
      <c r="J33" s="35"/>
      <c r="K33" s="35"/>
      <c r="L33" s="35"/>
      <c r="M33" s="35"/>
      <c r="N33" s="35"/>
      <c r="O33" s="35"/>
      <c r="P33" s="35"/>
      <c r="Q33" s="7"/>
    </row>
    <row r="34" spans="1:17">
      <c r="A34" s="1939"/>
      <c r="B34" s="2386"/>
      <c r="C34" s="59">
        <v>2020</v>
      </c>
      <c r="D34" s="39"/>
      <c r="E34" s="38"/>
      <c r="F34" s="38"/>
      <c r="G34" s="58">
        <f t="shared" si="2"/>
        <v>0</v>
      </c>
      <c r="H34" s="35"/>
      <c r="I34" s="35"/>
      <c r="J34" s="35"/>
      <c r="K34" s="35"/>
      <c r="L34" s="35"/>
      <c r="M34" s="35"/>
      <c r="N34" s="35"/>
      <c r="O34" s="35"/>
      <c r="P34" s="35"/>
      <c r="Q34" s="7"/>
    </row>
    <row r="35" spans="1:17" ht="294.75" customHeight="1" thickBot="1">
      <c r="A35" s="2236"/>
      <c r="B35" s="2388"/>
      <c r="C35" s="61" t="s">
        <v>13</v>
      </c>
      <c r="D35" s="46">
        <f>SUM(D28:D34)</f>
        <v>1684</v>
      </c>
      <c r="E35" s="44">
        <f>SUM(E28:E34)</f>
        <v>0</v>
      </c>
      <c r="F35" s="44">
        <f>SUM(F28:F34)</f>
        <v>0</v>
      </c>
      <c r="G35" s="48">
        <f t="shared" si="2"/>
        <v>1684</v>
      </c>
      <c r="H35" s="35"/>
      <c r="I35" s="35"/>
      <c r="J35" s="35"/>
      <c r="K35" s="35"/>
      <c r="L35" s="35"/>
      <c r="M35" s="35"/>
      <c r="N35" s="35"/>
      <c r="O35" s="35"/>
      <c r="P35" s="35"/>
      <c r="Q35" s="7"/>
    </row>
    <row r="36" spans="1:17">
      <c r="A36" s="1535"/>
      <c r="B36" s="1535"/>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535" t="s">
        <v>26</v>
      </c>
      <c r="B39" s="536" t="s">
        <v>171</v>
      </c>
      <c r="C39" s="68" t="s">
        <v>9</v>
      </c>
      <c r="D39" s="69" t="s">
        <v>28</v>
      </c>
      <c r="E39" s="70" t="s">
        <v>29</v>
      </c>
      <c r="F39" s="71"/>
      <c r="G39" s="28"/>
      <c r="H39" s="28"/>
    </row>
    <row r="40" spans="1:17">
      <c r="A40" s="1874" t="s">
        <v>495</v>
      </c>
      <c r="B40" s="1855"/>
      <c r="C40" s="72">
        <v>2014</v>
      </c>
      <c r="D40" s="30"/>
      <c r="E40" s="29"/>
      <c r="F40" s="7"/>
      <c r="G40" s="35"/>
      <c r="H40" s="35"/>
    </row>
    <row r="41" spans="1:17">
      <c r="A41" s="1854"/>
      <c r="B41" s="1855"/>
      <c r="C41" s="73">
        <v>2015</v>
      </c>
      <c r="D41" s="37"/>
      <c r="E41" s="36"/>
      <c r="F41" s="7"/>
      <c r="G41" s="35"/>
      <c r="H41" s="35"/>
    </row>
    <row r="42" spans="1:17">
      <c r="A42" s="1854"/>
      <c r="B42" s="1855"/>
      <c r="C42" s="73">
        <v>2016</v>
      </c>
      <c r="D42" s="584">
        <v>8185</v>
      </c>
      <c r="E42" s="585">
        <v>1364</v>
      </c>
      <c r="F42" s="7"/>
      <c r="G42" s="35"/>
      <c r="H42" s="35"/>
    </row>
    <row r="43" spans="1:17">
      <c r="A43" s="1854"/>
      <c r="B43" s="1855"/>
      <c r="C43" s="73">
        <v>2017</v>
      </c>
      <c r="D43" s="584">
        <v>33820</v>
      </c>
      <c r="E43" s="585">
        <v>5250</v>
      </c>
      <c r="F43" s="7"/>
      <c r="G43" s="35"/>
      <c r="H43" s="35"/>
    </row>
    <row r="44" spans="1:17">
      <c r="A44" s="1854"/>
      <c r="B44" s="1855"/>
      <c r="C44" s="73">
        <v>2018</v>
      </c>
      <c r="D44" s="37"/>
      <c r="E44" s="36"/>
      <c r="F44" s="7"/>
      <c r="G44" s="35"/>
      <c r="H44" s="35"/>
    </row>
    <row r="45" spans="1:17">
      <c r="A45" s="1854"/>
      <c r="B45" s="1855"/>
      <c r="C45" s="73">
        <v>2019</v>
      </c>
      <c r="D45" s="37"/>
      <c r="E45" s="36"/>
      <c r="F45" s="7"/>
      <c r="G45" s="35"/>
      <c r="H45" s="35"/>
    </row>
    <row r="46" spans="1:17">
      <c r="A46" s="1854"/>
      <c r="B46" s="1855"/>
      <c r="C46" s="73">
        <v>2020</v>
      </c>
      <c r="D46" s="37"/>
      <c r="E46" s="36"/>
      <c r="F46" s="7"/>
      <c r="G46" s="35"/>
      <c r="H46" s="35"/>
    </row>
    <row r="47" spans="1:17" ht="15.75" thickBot="1">
      <c r="A47" s="1856"/>
      <c r="B47" s="1857"/>
      <c r="C47" s="42" t="s">
        <v>13</v>
      </c>
      <c r="D47" s="43">
        <f>SUM(D40:D46)</f>
        <v>42005</v>
      </c>
      <c r="E47" s="455">
        <f>SUM(E40:E46)</f>
        <v>6614</v>
      </c>
      <c r="F47" s="78"/>
      <c r="G47" s="35"/>
      <c r="H47" s="35"/>
    </row>
    <row r="48" spans="1:17" s="35" customFormat="1" ht="15.75" thickBot="1">
      <c r="A48" s="539"/>
      <c r="B48" s="80"/>
      <c r="C48" s="81"/>
    </row>
    <row r="49" spans="1:15" ht="83.25" customHeight="1">
      <c r="A49" s="82" t="s">
        <v>32</v>
      </c>
      <c r="B49" s="536" t="s">
        <v>171</v>
      </c>
      <c r="C49" s="84" t="s">
        <v>9</v>
      </c>
      <c r="D49" s="69" t="s">
        <v>34</v>
      </c>
      <c r="E49" s="85" t="s">
        <v>35</v>
      </c>
      <c r="F49" s="85" t="s">
        <v>36</v>
      </c>
      <c r="G49" s="85" t="s">
        <v>37</v>
      </c>
      <c r="H49" s="85" t="s">
        <v>38</v>
      </c>
      <c r="I49" s="85" t="s">
        <v>39</v>
      </c>
      <c r="J49" s="85" t="s">
        <v>40</v>
      </c>
      <c r="K49" s="86" t="s">
        <v>41</v>
      </c>
    </row>
    <row r="50" spans="1:15" ht="17.25" customHeight="1">
      <c r="A50" s="2587" t="s">
        <v>496</v>
      </c>
      <c r="B50" s="2636"/>
      <c r="C50" s="87" t="s">
        <v>43</v>
      </c>
      <c r="D50" s="30"/>
      <c r="E50" s="31"/>
      <c r="F50" s="31"/>
      <c r="G50" s="31"/>
      <c r="H50" s="31"/>
      <c r="I50" s="31"/>
      <c r="J50" s="31"/>
      <c r="K50" s="34"/>
    </row>
    <row r="51" spans="1:15" ht="15" customHeight="1">
      <c r="A51" s="2588"/>
      <c r="B51" s="2032"/>
      <c r="C51" s="73">
        <v>2014</v>
      </c>
      <c r="D51" s="37"/>
      <c r="E51" s="38"/>
      <c r="F51" s="38"/>
      <c r="G51" s="38"/>
      <c r="H51" s="38"/>
      <c r="I51" s="38"/>
      <c r="J51" s="38"/>
      <c r="K51" s="88"/>
    </row>
    <row r="52" spans="1:15">
      <c r="A52" s="2588"/>
      <c r="B52" s="2032"/>
      <c r="C52" s="73">
        <v>2015</v>
      </c>
      <c r="D52" s="37"/>
      <c r="E52" s="38"/>
      <c r="F52" s="38"/>
      <c r="G52" s="38"/>
      <c r="H52" s="38"/>
      <c r="I52" s="38"/>
      <c r="J52" s="38"/>
      <c r="K52" s="88"/>
    </row>
    <row r="53" spans="1:15">
      <c r="A53" s="2588"/>
      <c r="B53" s="2032"/>
      <c r="C53" s="73">
        <v>2016</v>
      </c>
      <c r="D53" s="37"/>
      <c r="E53" s="38"/>
      <c r="F53" s="38"/>
      <c r="G53" s="38"/>
      <c r="H53" s="38"/>
      <c r="I53" s="38"/>
      <c r="J53" s="38"/>
      <c r="K53" s="88"/>
    </row>
    <row r="54" spans="1:15">
      <c r="A54" s="2588"/>
      <c r="B54" s="2032"/>
      <c r="C54" s="73">
        <v>2017</v>
      </c>
      <c r="D54" s="37">
        <v>1</v>
      </c>
      <c r="E54" s="38"/>
      <c r="F54" s="38"/>
      <c r="G54" s="38"/>
      <c r="H54" s="38"/>
      <c r="I54" s="38"/>
      <c r="J54" s="38"/>
      <c r="K54" s="88"/>
    </row>
    <row r="55" spans="1:15">
      <c r="A55" s="2588"/>
      <c r="B55" s="2032"/>
      <c r="C55" s="73">
        <v>2018</v>
      </c>
      <c r="D55" s="37"/>
      <c r="E55" s="38"/>
      <c r="F55" s="38"/>
      <c r="G55" s="38"/>
      <c r="H55" s="38"/>
      <c r="I55" s="38"/>
      <c r="J55" s="38"/>
      <c r="K55" s="88"/>
    </row>
    <row r="56" spans="1:15">
      <c r="A56" s="2588"/>
      <c r="B56" s="2032"/>
      <c r="C56" s="73">
        <v>2019</v>
      </c>
      <c r="D56" s="37"/>
      <c r="E56" s="38"/>
      <c r="F56" s="38"/>
      <c r="G56" s="38"/>
      <c r="H56" s="38"/>
      <c r="I56" s="38"/>
      <c r="J56" s="38"/>
      <c r="K56" s="88"/>
    </row>
    <row r="57" spans="1:15">
      <c r="A57" s="2588"/>
      <c r="B57" s="2032"/>
      <c r="C57" s="73">
        <v>2020</v>
      </c>
      <c r="D57" s="37"/>
      <c r="E57" s="38"/>
      <c r="F57" s="38"/>
      <c r="G57" s="38"/>
      <c r="H57" s="38"/>
      <c r="I57" s="38"/>
      <c r="J57" s="38"/>
      <c r="K57" s="93"/>
    </row>
    <row r="58" spans="1:15" ht="20.25" customHeight="1" thickBot="1">
      <c r="A58" s="2589"/>
      <c r="B58" s="2033"/>
      <c r="C58" s="42" t="s">
        <v>13</v>
      </c>
      <c r="D58" s="43">
        <f>SUM(D51:D57)</f>
        <v>1</v>
      </c>
      <c r="E58" s="44">
        <f>SUM(E51:E57)</f>
        <v>0</v>
      </c>
      <c r="F58" s="44">
        <f>SUM(F51:F57)</f>
        <v>0</v>
      </c>
      <c r="G58" s="44">
        <f>SUM(G51:G57)</f>
        <v>0</v>
      </c>
      <c r="H58" s="44">
        <f>SUM(H51:H57)</f>
        <v>0</v>
      </c>
      <c r="I58" s="44">
        <f t="shared" ref="I58" si="3">SUM(I51:I57)</f>
        <v>0</v>
      </c>
      <c r="J58" s="44">
        <f>SUM(J51:J57)</f>
        <v>0</v>
      </c>
      <c r="K58" s="48">
        <f>SUM(K50:K56)</f>
        <v>0</v>
      </c>
    </row>
    <row r="59" spans="1:15" ht="15.75" thickBot="1"/>
    <row r="60" spans="1:15" ht="21" customHeight="1">
      <c r="A60" s="2073" t="s">
        <v>44</v>
      </c>
      <c r="B60" s="540"/>
      <c r="C60" s="2074" t="s">
        <v>9</v>
      </c>
      <c r="D60" s="2417" t="s">
        <v>45</v>
      </c>
      <c r="E60" s="96" t="s">
        <v>6</v>
      </c>
      <c r="F60" s="541"/>
      <c r="G60" s="541"/>
      <c r="H60" s="541"/>
      <c r="I60" s="541"/>
      <c r="J60" s="541"/>
      <c r="K60" s="541"/>
      <c r="L60" s="542"/>
    </row>
    <row r="61" spans="1:15" ht="115.5" customHeight="1">
      <c r="A61" s="1970"/>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2212" t="s">
        <v>497</v>
      </c>
      <c r="B62" s="2092"/>
      <c r="C62" s="106">
        <v>2014</v>
      </c>
      <c r="D62" s="107"/>
      <c r="E62" s="108"/>
      <c r="F62" s="109"/>
      <c r="G62" s="109"/>
      <c r="H62" s="109"/>
      <c r="I62" s="109"/>
      <c r="J62" s="109"/>
      <c r="K62" s="109"/>
      <c r="L62" s="34"/>
      <c r="M62" s="7"/>
      <c r="N62" s="7"/>
      <c r="O62" s="7"/>
    </row>
    <row r="63" spans="1:15">
      <c r="A63" s="2212"/>
      <c r="B63" s="2092"/>
      <c r="C63" s="110">
        <v>2015</v>
      </c>
      <c r="D63" s="111">
        <v>1</v>
      </c>
      <c r="E63" s="112">
        <v>1</v>
      </c>
      <c r="F63" s="38"/>
      <c r="G63" s="38"/>
      <c r="H63" s="38"/>
      <c r="I63" s="38"/>
      <c r="J63" s="38"/>
      <c r="K63" s="38"/>
      <c r="L63" s="88"/>
      <c r="M63" s="7"/>
      <c r="N63" s="7"/>
      <c r="O63" s="7"/>
    </row>
    <row r="64" spans="1:15">
      <c r="A64" s="2212"/>
      <c r="B64" s="2092"/>
      <c r="C64" s="110">
        <v>2016</v>
      </c>
      <c r="D64" s="111">
        <v>4</v>
      </c>
      <c r="E64" s="112">
        <v>4</v>
      </c>
      <c r="F64" s="38"/>
      <c r="G64" s="38"/>
      <c r="H64" s="38"/>
      <c r="I64" s="38"/>
      <c r="J64" s="38"/>
      <c r="K64" s="38"/>
      <c r="L64" s="88"/>
      <c r="M64" s="7"/>
      <c r="N64" s="7"/>
      <c r="O64" s="7"/>
    </row>
    <row r="65" spans="1:20">
      <c r="A65" s="2212"/>
      <c r="B65" s="2092"/>
      <c r="C65" s="110">
        <v>2017</v>
      </c>
      <c r="D65" s="111">
        <f>1+1</f>
        <v>2</v>
      </c>
      <c r="E65" s="112">
        <f>1+1</f>
        <v>2</v>
      </c>
      <c r="F65" s="38"/>
      <c r="G65" s="38"/>
      <c r="H65" s="38"/>
      <c r="I65" s="38"/>
      <c r="J65" s="38"/>
      <c r="K65" s="38"/>
      <c r="L65" s="88"/>
      <c r="M65" s="7"/>
      <c r="N65" s="7"/>
      <c r="O65" s="7"/>
    </row>
    <row r="66" spans="1:20">
      <c r="A66" s="2212"/>
      <c r="B66" s="2092"/>
      <c r="C66" s="110">
        <v>2018</v>
      </c>
      <c r="D66" s="111"/>
      <c r="E66" s="112"/>
      <c r="F66" s="38"/>
      <c r="G66" s="38"/>
      <c r="H66" s="38"/>
      <c r="I66" s="38"/>
      <c r="J66" s="38"/>
      <c r="K66" s="38"/>
      <c r="L66" s="88"/>
      <c r="M66" s="7"/>
      <c r="N66" s="7"/>
      <c r="O66" s="7"/>
    </row>
    <row r="67" spans="1:20" ht="17.25" customHeight="1">
      <c r="A67" s="2212"/>
      <c r="B67" s="2092"/>
      <c r="C67" s="110">
        <v>2019</v>
      </c>
      <c r="D67" s="111"/>
      <c r="E67" s="112"/>
      <c r="F67" s="38"/>
      <c r="G67" s="38"/>
      <c r="H67" s="38"/>
      <c r="I67" s="38"/>
      <c r="J67" s="38"/>
      <c r="K67" s="38"/>
      <c r="L67" s="88"/>
      <c r="M67" s="7"/>
      <c r="N67" s="7"/>
      <c r="O67" s="7"/>
    </row>
    <row r="68" spans="1:20" ht="16.5" customHeight="1">
      <c r="A68" s="2212"/>
      <c r="B68" s="2092"/>
      <c r="C68" s="110">
        <v>2020</v>
      </c>
      <c r="D68" s="111"/>
      <c r="E68" s="112"/>
      <c r="F68" s="38"/>
      <c r="G68" s="38"/>
      <c r="H68" s="38"/>
      <c r="I68" s="38"/>
      <c r="J68" s="38"/>
      <c r="K68" s="38"/>
      <c r="L68" s="88"/>
      <c r="M68" s="78"/>
      <c r="N68" s="78"/>
      <c r="O68" s="78"/>
    </row>
    <row r="69" spans="1:20" ht="18" customHeight="1" thickBot="1">
      <c r="A69" s="2220"/>
      <c r="B69" s="2093"/>
      <c r="C69" s="113" t="s">
        <v>13</v>
      </c>
      <c r="D69" s="114">
        <f>SUM(D62:D68)</f>
        <v>7</v>
      </c>
      <c r="E69" s="115">
        <f>SUM(E62:E68)</f>
        <v>7</v>
      </c>
      <c r="F69" s="116">
        <f t="shared" ref="F69:I69" si="4">SUM(F62:F68)</f>
        <v>0</v>
      </c>
      <c r="G69" s="116">
        <f t="shared" si="4"/>
        <v>0</v>
      </c>
      <c r="H69" s="116">
        <f t="shared" si="4"/>
        <v>0</v>
      </c>
      <c r="I69" s="116">
        <f t="shared" si="4"/>
        <v>0</v>
      </c>
      <c r="J69" s="116"/>
      <c r="K69" s="116">
        <f>SUM(K62:K68)</f>
        <v>0</v>
      </c>
      <c r="L69" s="117">
        <f>SUM(L62:L68)</f>
        <v>0</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535" t="s">
        <v>47</v>
      </c>
      <c r="B71" s="536"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1874"/>
      <c r="B72" s="1899"/>
      <c r="C72" s="72">
        <v>2014</v>
      </c>
      <c r="D72" s="131"/>
      <c r="E72" s="131"/>
      <c r="F72" s="131"/>
      <c r="G72" s="132">
        <f>SUM(D72:F72)</f>
        <v>0</v>
      </c>
      <c r="H72" s="30"/>
      <c r="I72" s="133"/>
      <c r="J72" s="109"/>
      <c r="K72" s="109"/>
      <c r="L72" s="109"/>
      <c r="M72" s="109"/>
      <c r="N72" s="109"/>
      <c r="O72" s="134"/>
    </row>
    <row r="73" spans="1:20">
      <c r="A73" s="1854"/>
      <c r="B73" s="1899"/>
      <c r="C73" s="73">
        <v>2015</v>
      </c>
      <c r="D73" s="135"/>
      <c r="E73" s="135"/>
      <c r="F73" s="135"/>
      <c r="G73" s="132">
        <f t="shared" ref="G73:G78" si="5">SUM(D73:F73)</f>
        <v>0</v>
      </c>
      <c r="H73" s="37"/>
      <c r="I73" s="37"/>
      <c r="J73" s="38"/>
      <c r="K73" s="38"/>
      <c r="L73" s="38"/>
      <c r="M73" s="38"/>
      <c r="N73" s="38"/>
      <c r="O73" s="88"/>
    </row>
    <row r="74" spans="1:20">
      <c r="A74" s="1854"/>
      <c r="B74" s="1899"/>
      <c r="C74" s="73">
        <v>2016</v>
      </c>
      <c r="D74" s="135"/>
      <c r="E74" s="135"/>
      <c r="F74" s="135"/>
      <c r="G74" s="132">
        <f t="shared" si="5"/>
        <v>0</v>
      </c>
      <c r="H74" s="37"/>
      <c r="I74" s="37"/>
      <c r="J74" s="38"/>
      <c r="K74" s="38"/>
      <c r="L74" s="38"/>
      <c r="M74" s="38"/>
      <c r="N74" s="38"/>
      <c r="O74" s="88"/>
    </row>
    <row r="75" spans="1:20">
      <c r="A75" s="1854"/>
      <c r="B75" s="1899"/>
      <c r="C75" s="73">
        <v>2017</v>
      </c>
      <c r="D75" s="135"/>
      <c r="E75" s="135"/>
      <c r="F75" s="135"/>
      <c r="G75" s="132">
        <f t="shared" si="5"/>
        <v>0</v>
      </c>
      <c r="H75" s="37"/>
      <c r="I75" s="37"/>
      <c r="J75" s="38"/>
      <c r="K75" s="38"/>
      <c r="L75" s="38"/>
      <c r="M75" s="38"/>
      <c r="N75" s="38"/>
      <c r="O75" s="88"/>
    </row>
    <row r="76" spans="1:20">
      <c r="A76" s="1854"/>
      <c r="B76" s="1899"/>
      <c r="C76" s="73">
        <v>2018</v>
      </c>
      <c r="D76" s="135"/>
      <c r="E76" s="135"/>
      <c r="F76" s="135"/>
      <c r="G76" s="132">
        <f t="shared" si="5"/>
        <v>0</v>
      </c>
      <c r="H76" s="37"/>
      <c r="I76" s="37"/>
      <c r="J76" s="38"/>
      <c r="K76" s="38"/>
      <c r="L76" s="38"/>
      <c r="M76" s="38"/>
      <c r="N76" s="38"/>
      <c r="O76" s="88"/>
    </row>
    <row r="77" spans="1:20" ht="15.75" customHeight="1">
      <c r="A77" s="1854"/>
      <c r="B77" s="1899"/>
      <c r="C77" s="73">
        <v>2019</v>
      </c>
      <c r="D77" s="135"/>
      <c r="E77" s="135"/>
      <c r="F77" s="135"/>
      <c r="G77" s="132">
        <f t="shared" si="5"/>
        <v>0</v>
      </c>
      <c r="H77" s="37"/>
      <c r="I77" s="37"/>
      <c r="J77" s="38"/>
      <c r="K77" s="38"/>
      <c r="L77" s="38"/>
      <c r="M77" s="38"/>
      <c r="N77" s="38"/>
      <c r="O77" s="88"/>
    </row>
    <row r="78" spans="1:20" ht="17.25" customHeight="1">
      <c r="A78" s="1854"/>
      <c r="B78" s="1899"/>
      <c r="C78" s="73">
        <v>2020</v>
      </c>
      <c r="D78" s="135"/>
      <c r="E78" s="135"/>
      <c r="F78" s="135"/>
      <c r="G78" s="132">
        <f t="shared" si="5"/>
        <v>0</v>
      </c>
      <c r="H78" s="37"/>
      <c r="I78" s="37"/>
      <c r="J78" s="38"/>
      <c r="K78" s="38"/>
      <c r="L78" s="38"/>
      <c r="M78" s="38"/>
      <c r="N78" s="38"/>
      <c r="O78" s="88"/>
    </row>
    <row r="79" spans="1:20" ht="20.25" customHeight="1" thickBot="1">
      <c r="A79" s="1980"/>
      <c r="B79" s="1900"/>
      <c r="C79" s="136" t="s">
        <v>13</v>
      </c>
      <c r="D79" s="114">
        <f>SUM(D72:D78)</f>
        <v>0</v>
      </c>
      <c r="E79" s="114">
        <f>SUM(E72:E78)</f>
        <v>0</v>
      </c>
      <c r="F79" s="114">
        <f>SUM(F72:F78)</f>
        <v>0</v>
      </c>
      <c r="G79" s="137">
        <f>SUM(G72:G78)</f>
        <v>0</v>
      </c>
      <c r="H79" s="138">
        <v>0</v>
      </c>
      <c r="I79" s="139">
        <f t="shared" ref="I79:O79" si="6">SUM(I72:I78)</f>
        <v>0</v>
      </c>
      <c r="J79" s="116">
        <f t="shared" si="6"/>
        <v>0</v>
      </c>
      <c r="K79" s="116">
        <f t="shared" si="6"/>
        <v>0</v>
      </c>
      <c r="L79" s="116">
        <f t="shared" si="6"/>
        <v>0</v>
      </c>
      <c r="M79" s="116">
        <f t="shared" si="6"/>
        <v>0</v>
      </c>
      <c r="N79" s="116">
        <f t="shared" si="6"/>
        <v>0</v>
      </c>
      <c r="O79" s="117">
        <f t="shared" si="6"/>
        <v>0</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547" t="s">
        <v>56</v>
      </c>
      <c r="B84" s="548" t="s">
        <v>178</v>
      </c>
      <c r="C84" s="149" t="s">
        <v>9</v>
      </c>
      <c r="D84" s="150" t="s">
        <v>58</v>
      </c>
      <c r="E84" s="151" t="s">
        <v>59</v>
      </c>
      <c r="F84" s="152" t="s">
        <v>60</v>
      </c>
      <c r="G84" s="152" t="s">
        <v>61</v>
      </c>
      <c r="H84" s="152" t="s">
        <v>62</v>
      </c>
      <c r="I84" s="152" t="s">
        <v>63</v>
      </c>
      <c r="J84" s="152" t="s">
        <v>64</v>
      </c>
      <c r="K84" s="153" t="s">
        <v>65</v>
      </c>
    </row>
    <row r="85" spans="1:16" ht="15" customHeight="1">
      <c r="A85" s="1938"/>
      <c r="B85" s="1899"/>
      <c r="C85" s="72">
        <v>2014</v>
      </c>
      <c r="D85" s="154"/>
      <c r="E85" s="155"/>
      <c r="F85" s="31"/>
      <c r="G85" s="31"/>
      <c r="H85" s="31"/>
      <c r="I85" s="31"/>
      <c r="J85" s="31"/>
      <c r="K85" s="34"/>
    </row>
    <row r="86" spans="1:16">
      <c r="A86" s="1939"/>
      <c r="B86" s="1899"/>
      <c r="C86" s="73">
        <v>2015</v>
      </c>
      <c r="D86" s="156"/>
      <c r="E86" s="112"/>
      <c r="F86" s="38"/>
      <c r="G86" s="38"/>
      <c r="H86" s="38"/>
      <c r="I86" s="38"/>
      <c r="J86" s="38"/>
      <c r="K86" s="88"/>
    </row>
    <row r="87" spans="1:16">
      <c r="A87" s="1939"/>
      <c r="B87" s="1899"/>
      <c r="C87" s="73">
        <v>2016</v>
      </c>
      <c r="D87" s="156"/>
      <c r="E87" s="112"/>
      <c r="F87" s="38"/>
      <c r="G87" s="38"/>
      <c r="H87" s="38"/>
      <c r="I87" s="38"/>
      <c r="J87" s="38"/>
      <c r="K87" s="88"/>
    </row>
    <row r="88" spans="1:16">
      <c r="A88" s="1939"/>
      <c r="B88" s="1899"/>
      <c r="C88" s="73">
        <v>2017</v>
      </c>
      <c r="D88" s="156"/>
      <c r="E88" s="112"/>
      <c r="F88" s="38"/>
      <c r="G88" s="38"/>
      <c r="H88" s="38"/>
      <c r="I88" s="38"/>
      <c r="J88" s="38"/>
      <c r="K88" s="88"/>
    </row>
    <row r="89" spans="1:16">
      <c r="A89" s="1939"/>
      <c r="B89" s="1899"/>
      <c r="C89" s="73">
        <v>2018</v>
      </c>
      <c r="D89" s="156"/>
      <c r="E89" s="112"/>
      <c r="F89" s="38"/>
      <c r="G89" s="38"/>
      <c r="H89" s="38"/>
      <c r="I89" s="38"/>
      <c r="J89" s="38"/>
      <c r="K89" s="88"/>
    </row>
    <row r="90" spans="1:16">
      <c r="A90" s="1939"/>
      <c r="B90" s="1899"/>
      <c r="C90" s="73">
        <v>2019</v>
      </c>
      <c r="D90" s="156"/>
      <c r="E90" s="112"/>
      <c r="F90" s="38"/>
      <c r="G90" s="38"/>
      <c r="H90" s="38"/>
      <c r="I90" s="38"/>
      <c r="J90" s="38"/>
      <c r="K90" s="88"/>
    </row>
    <row r="91" spans="1:16">
      <c r="A91" s="1939"/>
      <c r="B91" s="1899"/>
      <c r="C91" s="73">
        <v>2020</v>
      </c>
      <c r="D91" s="156"/>
      <c r="E91" s="112"/>
      <c r="F91" s="38"/>
      <c r="G91" s="38"/>
      <c r="H91" s="38"/>
      <c r="I91" s="38"/>
      <c r="J91" s="38"/>
      <c r="K91" s="88"/>
    </row>
    <row r="92" spans="1:16" ht="18" customHeight="1" thickBot="1">
      <c r="A92" s="1940"/>
      <c r="B92" s="1900"/>
      <c r="C92" s="136" t="s">
        <v>13</v>
      </c>
      <c r="D92" s="157">
        <f t="shared" ref="D92:I92" si="7">SUM(D85:D91)</f>
        <v>0</v>
      </c>
      <c r="E92" s="115">
        <f t="shared" si="7"/>
        <v>0</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632" t="s">
        <v>68</v>
      </c>
      <c r="B96" s="2634" t="s">
        <v>498</v>
      </c>
      <c r="C96" s="2630" t="s">
        <v>9</v>
      </c>
      <c r="D96" s="2628" t="s">
        <v>70</v>
      </c>
      <c r="E96" s="2629"/>
      <c r="F96" s="1702" t="s">
        <v>71</v>
      </c>
      <c r="G96" s="1703"/>
      <c r="H96" s="1703"/>
      <c r="I96" s="1703"/>
      <c r="J96" s="1703"/>
      <c r="K96" s="1703"/>
      <c r="L96" s="1703"/>
      <c r="M96" s="1704"/>
      <c r="N96" s="165"/>
      <c r="O96" s="165"/>
      <c r="P96" s="165"/>
    </row>
    <row r="97" spans="1:16" ht="100.5" customHeight="1">
      <c r="A97" s="2633"/>
      <c r="B97" s="2635"/>
      <c r="C97" s="2631"/>
      <c r="D97" s="1705" t="s">
        <v>72</v>
      </c>
      <c r="E97" s="1706" t="s">
        <v>73</v>
      </c>
      <c r="F97" s="1707" t="s">
        <v>14</v>
      </c>
      <c r="G97" s="1708" t="s">
        <v>74</v>
      </c>
      <c r="H97" s="1708" t="s">
        <v>61</v>
      </c>
      <c r="I97" s="1709" t="s">
        <v>62</v>
      </c>
      <c r="J97" s="1709" t="s">
        <v>63</v>
      </c>
      <c r="K97" s="1710" t="s">
        <v>75</v>
      </c>
      <c r="L97" s="1708" t="s">
        <v>64</v>
      </c>
      <c r="M97" s="1711" t="s">
        <v>65</v>
      </c>
      <c r="N97" s="165"/>
      <c r="O97" s="165"/>
      <c r="P97" s="165"/>
    </row>
    <row r="98" spans="1:16" ht="17.25" customHeight="1">
      <c r="A98" s="1898"/>
      <c r="B98" s="1899"/>
      <c r="C98" s="106">
        <v>2014</v>
      </c>
      <c r="D98" s="30"/>
      <c r="E98" s="31"/>
      <c r="F98" s="174"/>
      <c r="G98" s="175"/>
      <c r="H98" s="175"/>
      <c r="I98" s="175"/>
      <c r="J98" s="175"/>
      <c r="K98" s="175"/>
      <c r="L98" s="175"/>
      <c r="M98" s="176"/>
      <c r="N98" s="165"/>
      <c r="O98" s="165"/>
      <c r="P98" s="165"/>
    </row>
    <row r="99" spans="1:16" ht="16.5" customHeight="1">
      <c r="A99" s="1891"/>
      <c r="B99" s="1899"/>
      <c r="C99" s="110">
        <v>2015</v>
      </c>
      <c r="D99" s="37"/>
      <c r="E99" s="38"/>
      <c r="F99" s="177"/>
      <c r="G99" s="178"/>
      <c r="H99" s="178"/>
      <c r="I99" s="178"/>
      <c r="J99" s="178"/>
      <c r="K99" s="178"/>
      <c r="L99" s="178"/>
      <c r="M99" s="179"/>
      <c r="N99" s="165"/>
      <c r="O99" s="165"/>
      <c r="P99" s="165"/>
    </row>
    <row r="100" spans="1:16" ht="16.5" customHeight="1">
      <c r="A100" s="1891"/>
      <c r="B100" s="1899"/>
      <c r="C100" s="110">
        <v>2016</v>
      </c>
      <c r="D100" s="37"/>
      <c r="E100" s="38"/>
      <c r="F100" s="177"/>
      <c r="G100" s="178"/>
      <c r="H100" s="178"/>
      <c r="I100" s="178"/>
      <c r="J100" s="178"/>
      <c r="K100" s="178"/>
      <c r="L100" s="178"/>
      <c r="M100" s="179"/>
      <c r="N100" s="165"/>
      <c r="O100" s="165"/>
      <c r="P100" s="165"/>
    </row>
    <row r="101" spans="1:16" ht="16.5" customHeight="1">
      <c r="A101" s="1891"/>
      <c r="B101" s="1899"/>
      <c r="C101" s="110">
        <v>2017</v>
      </c>
      <c r="D101" s="37"/>
      <c r="E101" s="38"/>
      <c r="F101" s="177"/>
      <c r="G101" s="178"/>
      <c r="H101" s="178"/>
      <c r="I101" s="178"/>
      <c r="J101" s="178"/>
      <c r="K101" s="178"/>
      <c r="L101" s="178"/>
      <c r="M101" s="179"/>
      <c r="N101" s="165"/>
      <c r="O101" s="165"/>
      <c r="P101" s="165"/>
    </row>
    <row r="102" spans="1:16" ht="15.75" customHeight="1">
      <c r="A102" s="1891"/>
      <c r="B102" s="1899"/>
      <c r="C102" s="110">
        <v>2018</v>
      </c>
      <c r="D102" s="37"/>
      <c r="E102" s="38"/>
      <c r="F102" s="177"/>
      <c r="G102" s="178"/>
      <c r="H102" s="178"/>
      <c r="I102" s="178"/>
      <c r="J102" s="178"/>
      <c r="K102" s="178"/>
      <c r="L102" s="178"/>
      <c r="M102" s="179"/>
      <c r="N102" s="165"/>
      <c r="O102" s="165"/>
      <c r="P102" s="165"/>
    </row>
    <row r="103" spans="1:16" ht="14.25" customHeight="1">
      <c r="A103" s="1891"/>
      <c r="B103" s="1899"/>
      <c r="C103" s="110">
        <v>2019</v>
      </c>
      <c r="D103" s="37"/>
      <c r="E103" s="38"/>
      <c r="F103" s="177"/>
      <c r="G103" s="178"/>
      <c r="H103" s="178"/>
      <c r="I103" s="178"/>
      <c r="J103" s="178"/>
      <c r="K103" s="178"/>
      <c r="L103" s="178"/>
      <c r="M103" s="179"/>
      <c r="N103" s="165"/>
      <c r="O103" s="165"/>
      <c r="P103" s="165"/>
    </row>
    <row r="104" spans="1:16" ht="14.25" customHeight="1">
      <c r="A104" s="1891"/>
      <c r="B104" s="1899"/>
      <c r="C104" s="110">
        <v>2020</v>
      </c>
      <c r="D104" s="37"/>
      <c r="E104" s="38"/>
      <c r="F104" s="177"/>
      <c r="G104" s="178"/>
      <c r="H104" s="178"/>
      <c r="I104" s="178"/>
      <c r="J104" s="178"/>
      <c r="K104" s="178"/>
      <c r="L104" s="178"/>
      <c r="M104" s="179"/>
      <c r="N104" s="165"/>
      <c r="O104" s="165"/>
      <c r="P104" s="165"/>
    </row>
    <row r="105" spans="1:16" ht="19.5" customHeight="1" thickBot="1">
      <c r="A105" s="1915"/>
      <c r="B105" s="1900"/>
      <c r="C105" s="113" t="s">
        <v>13</v>
      </c>
      <c r="D105" s="139">
        <f>SUM(D98:D104)</f>
        <v>0</v>
      </c>
      <c r="E105" s="116">
        <f t="shared" ref="E105:K105" si="8">SUM(E98:E104)</f>
        <v>0</v>
      </c>
      <c r="F105" s="180">
        <f t="shared" si="8"/>
        <v>0</v>
      </c>
      <c r="G105" s="181">
        <f t="shared" si="8"/>
        <v>0</v>
      </c>
      <c r="H105" s="181">
        <f t="shared" si="8"/>
        <v>0</v>
      </c>
      <c r="I105" s="181">
        <f>SUM(I98:I104)</f>
        <v>0</v>
      </c>
      <c r="J105" s="181">
        <f t="shared" si="8"/>
        <v>0</v>
      </c>
      <c r="K105" s="181">
        <f t="shared" si="8"/>
        <v>0</v>
      </c>
      <c r="L105" s="181">
        <f>SUM(L98:L104)</f>
        <v>0</v>
      </c>
      <c r="M105" s="182">
        <f>SUM(M98:M104)</f>
        <v>0</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051" t="s">
        <v>77</v>
      </c>
      <c r="B107" s="2052" t="s">
        <v>179</v>
      </c>
      <c r="C107" s="2058" t="s">
        <v>9</v>
      </c>
      <c r="D107" s="2414" t="s">
        <v>78</v>
      </c>
      <c r="E107" s="162" t="s">
        <v>79</v>
      </c>
      <c r="F107" s="549"/>
      <c r="G107" s="549"/>
      <c r="H107" s="549"/>
      <c r="I107" s="549"/>
      <c r="J107" s="549"/>
      <c r="K107" s="549"/>
      <c r="L107" s="550"/>
      <c r="M107" s="185"/>
      <c r="N107" s="185"/>
    </row>
    <row r="108" spans="1:16" ht="103.5"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2212" t="s">
        <v>499</v>
      </c>
      <c r="B109" s="2092"/>
      <c r="C109" s="106">
        <v>2014</v>
      </c>
      <c r="D109" s="31"/>
      <c r="E109" s="174"/>
      <c r="F109" s="175"/>
      <c r="G109" s="175"/>
      <c r="H109" s="175"/>
      <c r="I109" s="175"/>
      <c r="J109" s="175"/>
      <c r="K109" s="175"/>
      <c r="L109" s="176"/>
      <c r="M109" s="185"/>
      <c r="N109" s="185"/>
    </row>
    <row r="110" spans="1:16">
      <c r="A110" s="2212"/>
      <c r="B110" s="2092"/>
      <c r="C110" s="110">
        <v>2015</v>
      </c>
      <c r="D110" s="38">
        <v>8</v>
      </c>
      <c r="E110" s="177"/>
      <c r="F110" s="178"/>
      <c r="G110" s="178"/>
      <c r="H110" s="178"/>
      <c r="I110" s="178"/>
      <c r="J110" s="178"/>
      <c r="K110" s="178"/>
      <c r="L110" s="179">
        <v>8</v>
      </c>
      <c r="M110" s="185"/>
      <c r="N110" s="185"/>
    </row>
    <row r="111" spans="1:16" ht="12.75" customHeight="1">
      <c r="A111" s="2212"/>
      <c r="B111" s="2092"/>
      <c r="C111" s="110">
        <v>2016</v>
      </c>
      <c r="D111" s="38">
        <v>3</v>
      </c>
      <c r="E111" s="177"/>
      <c r="F111" s="178"/>
      <c r="G111" s="178"/>
      <c r="H111" s="178"/>
      <c r="I111" s="178"/>
      <c r="J111" s="178"/>
      <c r="K111" s="178"/>
      <c r="L111" s="179">
        <f>D111</f>
        <v>3</v>
      </c>
      <c r="M111" s="185"/>
      <c r="N111" s="185"/>
    </row>
    <row r="112" spans="1:16" hidden="1">
      <c r="A112" s="2212"/>
      <c r="B112" s="2092"/>
      <c r="C112" s="110">
        <v>2017</v>
      </c>
      <c r="D112" s="38">
        <f>1+1+1+1</f>
        <v>4</v>
      </c>
      <c r="E112" s="177"/>
      <c r="F112" s="178"/>
      <c r="G112" s="178"/>
      <c r="H112" s="178"/>
      <c r="I112" s="178"/>
      <c r="J112" s="178"/>
      <c r="K112" s="178"/>
      <c r="L112" s="179">
        <f t="shared" ref="L112:L113" si="9">D112</f>
        <v>4</v>
      </c>
      <c r="M112" s="185"/>
      <c r="N112" s="185"/>
    </row>
    <row r="113" spans="1:14">
      <c r="A113" s="2212"/>
      <c r="B113" s="2092"/>
      <c r="C113" s="110">
        <v>2017</v>
      </c>
      <c r="D113" s="38">
        <f>4+10</f>
        <v>14</v>
      </c>
      <c r="E113" s="177"/>
      <c r="F113" s="178"/>
      <c r="G113" s="178"/>
      <c r="H113" s="178"/>
      <c r="I113" s="178"/>
      <c r="J113" s="178"/>
      <c r="K113" s="178"/>
      <c r="L113" s="179">
        <f t="shared" si="9"/>
        <v>14</v>
      </c>
      <c r="M113" s="185"/>
      <c r="N113" s="185"/>
    </row>
    <row r="114" spans="1:14">
      <c r="A114" s="2212"/>
      <c r="B114" s="2092"/>
      <c r="C114" s="110">
        <v>2018</v>
      </c>
      <c r="D114" s="38"/>
      <c r="E114" s="177"/>
      <c r="F114" s="178"/>
      <c r="G114" s="178"/>
      <c r="H114" s="178"/>
      <c r="I114" s="178"/>
      <c r="J114" s="178"/>
      <c r="K114" s="178"/>
      <c r="L114" s="179"/>
      <c r="M114" s="185"/>
      <c r="N114" s="185"/>
    </row>
    <row r="115" spans="1:14">
      <c r="A115" s="2212"/>
      <c r="B115" s="2092"/>
      <c r="C115" s="110">
        <v>2019</v>
      </c>
      <c r="D115" s="38"/>
      <c r="E115" s="177"/>
      <c r="F115" s="178"/>
      <c r="G115" s="178"/>
      <c r="H115" s="178"/>
      <c r="I115" s="178"/>
      <c r="J115" s="178"/>
      <c r="K115" s="178"/>
      <c r="L115" s="179"/>
      <c r="M115" s="185"/>
      <c r="N115" s="185"/>
    </row>
    <row r="116" spans="1:14" ht="246.75" customHeight="1" thickBot="1">
      <c r="A116" s="2499"/>
      <c r="B116" s="2093"/>
      <c r="C116" s="113" t="s">
        <v>13</v>
      </c>
      <c r="D116" s="116">
        <f t="shared" ref="D116:I116" si="10">SUM(D109:D115)</f>
        <v>29</v>
      </c>
      <c r="E116" s="180">
        <f t="shared" si="10"/>
        <v>0</v>
      </c>
      <c r="F116" s="181">
        <f t="shared" si="10"/>
        <v>0</v>
      </c>
      <c r="G116" s="181">
        <f t="shared" si="10"/>
        <v>0</v>
      </c>
      <c r="H116" s="181">
        <f t="shared" si="10"/>
        <v>0</v>
      </c>
      <c r="I116" s="181">
        <f t="shared" si="10"/>
        <v>0</v>
      </c>
      <c r="J116" s="181"/>
      <c r="K116" s="181">
        <f>SUM(K109:K115)</f>
        <v>0</v>
      </c>
      <c r="L116" s="182">
        <f>SUM(L109:L115)</f>
        <v>29</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051" t="s">
        <v>81</v>
      </c>
      <c r="B118" s="2052" t="s">
        <v>179</v>
      </c>
      <c r="C118" s="2058" t="s">
        <v>9</v>
      </c>
      <c r="D118" s="2414" t="s">
        <v>82</v>
      </c>
      <c r="E118" s="162" t="s">
        <v>79</v>
      </c>
      <c r="F118" s="549"/>
      <c r="G118" s="549"/>
      <c r="H118" s="549"/>
      <c r="I118" s="549"/>
      <c r="J118" s="549"/>
      <c r="K118" s="549"/>
      <c r="L118" s="550"/>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1898" t="s">
        <v>500</v>
      </c>
      <c r="B120" s="1899"/>
      <c r="C120" s="106">
        <v>2014</v>
      </c>
      <c r="D120" s="31"/>
      <c r="E120" s="174"/>
      <c r="F120" s="175"/>
      <c r="G120" s="175"/>
      <c r="H120" s="175"/>
      <c r="I120" s="175"/>
      <c r="J120" s="175"/>
      <c r="K120" s="175"/>
      <c r="L120" s="176"/>
      <c r="M120" s="185"/>
      <c r="N120" s="185"/>
    </row>
    <row r="121" spans="1:14">
      <c r="A121" s="1891"/>
      <c r="B121" s="1899"/>
      <c r="C121" s="110">
        <v>2015</v>
      </c>
      <c r="D121" s="38"/>
      <c r="E121" s="177"/>
      <c r="F121" s="178"/>
      <c r="G121" s="178"/>
      <c r="H121" s="178"/>
      <c r="I121" s="178"/>
      <c r="J121" s="178"/>
      <c r="K121" s="178"/>
      <c r="L121" s="179"/>
      <c r="M121" s="185"/>
      <c r="N121" s="185"/>
    </row>
    <row r="122" spans="1:14">
      <c r="A122" s="1891"/>
      <c r="B122" s="1899"/>
      <c r="C122" s="110">
        <v>2016</v>
      </c>
      <c r="D122" s="38">
        <v>6</v>
      </c>
      <c r="E122" s="177"/>
      <c r="F122" s="178"/>
      <c r="G122" s="178"/>
      <c r="H122" s="178"/>
      <c r="I122" s="178"/>
      <c r="J122" s="178"/>
      <c r="K122" s="178"/>
      <c r="L122" s="179">
        <v>6</v>
      </c>
      <c r="M122" s="185"/>
      <c r="N122" s="185"/>
    </row>
    <row r="123" spans="1:14">
      <c r="A123" s="1891"/>
      <c r="B123" s="1899"/>
      <c r="C123" s="110">
        <v>2017</v>
      </c>
      <c r="D123" s="38">
        <f>2+1+1+1+2</f>
        <v>7</v>
      </c>
      <c r="E123" s="177"/>
      <c r="F123" s="178"/>
      <c r="G123" s="178"/>
      <c r="H123" s="178"/>
      <c r="I123" s="178"/>
      <c r="J123" s="178"/>
      <c r="K123" s="178"/>
      <c r="L123" s="179">
        <v>7</v>
      </c>
      <c r="M123" s="185"/>
      <c r="N123" s="185"/>
    </row>
    <row r="124" spans="1:14">
      <c r="A124" s="1891"/>
      <c r="B124" s="1899"/>
      <c r="C124" s="110">
        <v>2018</v>
      </c>
      <c r="D124" s="38"/>
      <c r="E124" s="177"/>
      <c r="F124" s="178"/>
      <c r="G124" s="178"/>
      <c r="H124" s="178"/>
      <c r="I124" s="178"/>
      <c r="J124" s="178"/>
      <c r="K124" s="178"/>
      <c r="L124" s="179"/>
      <c r="M124" s="185"/>
      <c r="N124" s="185"/>
    </row>
    <row r="125" spans="1:14">
      <c r="A125" s="1891"/>
      <c r="B125" s="1899"/>
      <c r="C125" s="110">
        <v>2019</v>
      </c>
      <c r="D125" s="38"/>
      <c r="E125" s="177"/>
      <c r="F125" s="178"/>
      <c r="G125" s="178"/>
      <c r="H125" s="178"/>
      <c r="I125" s="178"/>
      <c r="J125" s="178"/>
      <c r="K125" s="178"/>
      <c r="L125" s="179"/>
      <c r="M125" s="185"/>
      <c r="N125" s="185"/>
    </row>
    <row r="126" spans="1:14">
      <c r="A126" s="1891"/>
      <c r="B126" s="1899"/>
      <c r="C126" s="110">
        <v>2020</v>
      </c>
      <c r="D126" s="38"/>
      <c r="E126" s="177"/>
      <c r="F126" s="178"/>
      <c r="G126" s="178"/>
      <c r="H126" s="178"/>
      <c r="I126" s="178"/>
      <c r="J126" s="178"/>
      <c r="K126" s="178"/>
      <c r="L126" s="179"/>
      <c r="M126" s="185"/>
      <c r="N126" s="185"/>
    </row>
    <row r="127" spans="1:14" ht="267" customHeight="1" thickBot="1">
      <c r="A127" s="1915"/>
      <c r="B127" s="1900"/>
      <c r="C127" s="113" t="s">
        <v>13</v>
      </c>
      <c r="D127" s="116">
        <f t="shared" ref="D127:I127" si="11">SUM(D120:D126)</f>
        <v>13</v>
      </c>
      <c r="E127" s="180">
        <f t="shared" si="11"/>
        <v>0</v>
      </c>
      <c r="F127" s="181">
        <f t="shared" si="11"/>
        <v>0</v>
      </c>
      <c r="G127" s="181">
        <f t="shared" si="11"/>
        <v>0</v>
      </c>
      <c r="H127" s="181">
        <f t="shared" si="11"/>
        <v>0</v>
      </c>
      <c r="I127" s="181">
        <f t="shared" si="11"/>
        <v>0</v>
      </c>
      <c r="J127" s="181"/>
      <c r="K127" s="181">
        <f>SUM(K120:K126)</f>
        <v>0</v>
      </c>
      <c r="L127" s="182">
        <f>SUM(L120:L126)</f>
        <v>13</v>
      </c>
      <c r="M127" s="185"/>
      <c r="N127" s="185"/>
    </row>
    <row r="128" spans="1:14" ht="15.75" thickBot="1">
      <c r="A128" s="183"/>
      <c r="B128" s="183"/>
      <c r="C128" s="184"/>
      <c r="D128" s="7"/>
      <c r="E128" s="7"/>
      <c r="H128" s="185"/>
      <c r="I128" s="185"/>
      <c r="J128" s="185"/>
      <c r="K128" s="185"/>
      <c r="L128" s="185"/>
      <c r="M128" s="185"/>
      <c r="N128" s="185"/>
    </row>
    <row r="129" spans="1:16" ht="15" customHeight="1">
      <c r="A129" s="2051" t="s">
        <v>84</v>
      </c>
      <c r="B129" s="2052" t="s">
        <v>179</v>
      </c>
      <c r="C129" s="1534" t="s">
        <v>9</v>
      </c>
      <c r="D129" s="189" t="s">
        <v>85</v>
      </c>
      <c r="E129" s="553"/>
      <c r="F129" s="553"/>
      <c r="G129" s="191"/>
      <c r="H129" s="185"/>
      <c r="I129" s="185"/>
      <c r="J129" s="185"/>
      <c r="K129" s="185"/>
      <c r="L129" s="185"/>
      <c r="M129" s="185"/>
      <c r="N129" s="185"/>
    </row>
    <row r="130" spans="1:16" ht="77.25" customHeight="1">
      <c r="A130" s="1910"/>
      <c r="B130" s="1912"/>
      <c r="C130" s="1528"/>
      <c r="D130" s="166" t="s">
        <v>86</v>
      </c>
      <c r="E130" s="193" t="s">
        <v>87</v>
      </c>
      <c r="F130" s="167" t="s">
        <v>88</v>
      </c>
      <c r="G130" s="194" t="s">
        <v>13</v>
      </c>
      <c r="H130" s="185"/>
      <c r="I130" s="185"/>
      <c r="J130" s="185"/>
      <c r="K130" s="185"/>
      <c r="L130" s="185"/>
      <c r="M130" s="185"/>
      <c r="N130" s="185"/>
    </row>
    <row r="131" spans="1:16">
      <c r="A131" s="1874" t="s">
        <v>501</v>
      </c>
      <c r="B131" s="1855"/>
      <c r="C131" s="106">
        <v>2015</v>
      </c>
      <c r="D131" s="30"/>
      <c r="E131" s="31"/>
      <c r="F131" s="31"/>
      <c r="G131" s="195">
        <f t="shared" ref="G131:G136" si="12">SUM(D131:F131)</f>
        <v>0</v>
      </c>
      <c r="H131" s="185"/>
      <c r="I131" s="185"/>
      <c r="J131" s="185"/>
      <c r="K131" s="185"/>
      <c r="L131" s="185"/>
      <c r="M131" s="185"/>
      <c r="N131" s="185"/>
    </row>
    <row r="132" spans="1:16">
      <c r="A132" s="1854"/>
      <c r="B132" s="1855"/>
      <c r="C132" s="110">
        <v>2016</v>
      </c>
      <c r="D132" s="37"/>
      <c r="E132" s="38">
        <v>13</v>
      </c>
      <c r="F132" s="38"/>
      <c r="G132" s="195">
        <f t="shared" si="12"/>
        <v>13</v>
      </c>
      <c r="H132" s="185"/>
      <c r="I132" s="185"/>
      <c r="J132" s="185"/>
      <c r="K132" s="185"/>
      <c r="L132" s="185"/>
      <c r="M132" s="185"/>
      <c r="N132" s="185"/>
    </row>
    <row r="133" spans="1:16">
      <c r="A133" s="1854"/>
      <c r="B133" s="1855"/>
      <c r="C133" s="110">
        <v>2017</v>
      </c>
      <c r="D133" s="37"/>
      <c r="E133" s="38">
        <f>11+9+3+8+6</f>
        <v>37</v>
      </c>
      <c r="F133" s="38"/>
      <c r="G133" s="195">
        <f t="shared" si="12"/>
        <v>37</v>
      </c>
      <c r="H133" s="185"/>
      <c r="I133" s="185"/>
      <c r="J133" s="185"/>
      <c r="K133" s="185"/>
      <c r="L133" s="185"/>
      <c r="M133" s="185"/>
      <c r="N133" s="185"/>
    </row>
    <row r="134" spans="1:16">
      <c r="A134" s="1854"/>
      <c r="B134" s="1855"/>
      <c r="C134" s="110">
        <v>2018</v>
      </c>
      <c r="D134" s="37"/>
      <c r="E134" s="38"/>
      <c r="F134" s="38"/>
      <c r="G134" s="195">
        <f t="shared" si="12"/>
        <v>0</v>
      </c>
      <c r="H134" s="185"/>
      <c r="I134" s="185"/>
      <c r="J134" s="185"/>
      <c r="K134" s="185"/>
      <c r="L134" s="185"/>
      <c r="M134" s="185"/>
      <c r="N134" s="185"/>
    </row>
    <row r="135" spans="1:16">
      <c r="A135" s="1854"/>
      <c r="B135" s="1855"/>
      <c r="C135" s="110">
        <v>2019</v>
      </c>
      <c r="D135" s="37"/>
      <c r="E135" s="38"/>
      <c r="F135" s="38"/>
      <c r="G135" s="195">
        <f t="shared" si="12"/>
        <v>0</v>
      </c>
      <c r="H135" s="185"/>
      <c r="I135" s="185"/>
      <c r="J135" s="185"/>
      <c r="K135" s="185"/>
      <c r="L135" s="185"/>
      <c r="M135" s="185"/>
      <c r="N135" s="185"/>
    </row>
    <row r="136" spans="1:16">
      <c r="A136" s="1854"/>
      <c r="B136" s="1855"/>
      <c r="C136" s="110">
        <v>2020</v>
      </c>
      <c r="D136" s="37"/>
      <c r="E136" s="38"/>
      <c r="F136" s="38"/>
      <c r="G136" s="195">
        <f t="shared" si="12"/>
        <v>0</v>
      </c>
      <c r="H136" s="185"/>
      <c r="I136" s="185"/>
      <c r="J136" s="185"/>
      <c r="K136" s="185"/>
      <c r="L136" s="185"/>
      <c r="M136" s="185"/>
      <c r="N136" s="185"/>
    </row>
    <row r="137" spans="1:16" ht="294.75" customHeight="1" thickBot="1">
      <c r="A137" s="1856"/>
      <c r="B137" s="1857"/>
      <c r="C137" s="113" t="s">
        <v>13</v>
      </c>
      <c r="D137" s="139">
        <f>SUM(D131:D136)</f>
        <v>0</v>
      </c>
      <c r="E137" s="139">
        <f t="shared" ref="E137:F137" si="13">SUM(E131:E136)</f>
        <v>50</v>
      </c>
      <c r="F137" s="139">
        <f t="shared" si="13"/>
        <v>0</v>
      </c>
      <c r="G137" s="196">
        <f>SUM(G131:G136)</f>
        <v>50</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050" t="s">
        <v>91</v>
      </c>
      <c r="B142" s="2048" t="s">
        <v>179</v>
      </c>
      <c r="C142" s="2043" t="s">
        <v>9</v>
      </c>
      <c r="D142" s="554" t="s">
        <v>92</v>
      </c>
      <c r="E142" s="555"/>
      <c r="F142" s="555"/>
      <c r="G142" s="555"/>
      <c r="H142" s="555"/>
      <c r="I142" s="556"/>
      <c r="J142" s="2044" t="s">
        <v>93</v>
      </c>
      <c r="K142" s="2045"/>
      <c r="L142" s="2045"/>
      <c r="M142" s="2045"/>
      <c r="N142" s="2046"/>
      <c r="O142" s="165"/>
      <c r="P142" s="165"/>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c r="B144" s="1899"/>
      <c r="C144" s="106">
        <v>2014</v>
      </c>
      <c r="D144" s="30"/>
      <c r="E144" s="30"/>
      <c r="F144" s="31"/>
      <c r="G144" s="175"/>
      <c r="H144" s="175"/>
      <c r="I144" s="213">
        <f>D144+F144+G144+H144</f>
        <v>0</v>
      </c>
      <c r="J144" s="214"/>
      <c r="K144" s="215"/>
      <c r="L144" s="214"/>
      <c r="M144" s="215"/>
      <c r="N144" s="216"/>
      <c r="O144" s="165"/>
      <c r="P144" s="165"/>
    </row>
    <row r="145" spans="1:16" ht="19.5" customHeight="1">
      <c r="A145" s="1891"/>
      <c r="B145" s="1899"/>
      <c r="C145" s="110">
        <v>2015</v>
      </c>
      <c r="D145" s="37"/>
      <c r="E145" s="37"/>
      <c r="F145" s="38"/>
      <c r="G145" s="178"/>
      <c r="H145" s="178"/>
      <c r="I145" s="213">
        <f t="shared" ref="I145:I150" si="14">D145+F145+G145+H145</f>
        <v>0</v>
      </c>
      <c r="J145" s="217"/>
      <c r="K145" s="218"/>
      <c r="L145" s="217"/>
      <c r="M145" s="218"/>
      <c r="N145" s="219"/>
      <c r="O145" s="165"/>
      <c r="P145" s="165"/>
    </row>
    <row r="146" spans="1:16" ht="20.25" customHeight="1">
      <c r="A146" s="1891"/>
      <c r="B146" s="1899"/>
      <c r="C146" s="110">
        <v>2016</v>
      </c>
      <c r="D146" s="37"/>
      <c r="E146" s="37"/>
      <c r="F146" s="38"/>
      <c r="G146" s="178"/>
      <c r="H146" s="178"/>
      <c r="I146" s="213">
        <f t="shared" si="14"/>
        <v>0</v>
      </c>
      <c r="J146" s="217"/>
      <c r="K146" s="218"/>
      <c r="L146" s="217"/>
      <c r="M146" s="218"/>
      <c r="N146" s="219"/>
      <c r="O146" s="165"/>
      <c r="P146" s="165"/>
    </row>
    <row r="147" spans="1:16" ht="17.25" customHeight="1">
      <c r="A147" s="1891"/>
      <c r="B147" s="1899"/>
      <c r="C147" s="110">
        <v>2017</v>
      </c>
      <c r="D147" s="37"/>
      <c r="E147" s="37"/>
      <c r="F147" s="38"/>
      <c r="G147" s="178"/>
      <c r="H147" s="178"/>
      <c r="I147" s="213">
        <f t="shared" si="14"/>
        <v>0</v>
      </c>
      <c r="J147" s="217"/>
      <c r="K147" s="218"/>
      <c r="L147" s="217"/>
      <c r="M147" s="218"/>
      <c r="N147" s="219"/>
      <c r="O147" s="165"/>
      <c r="P147" s="165"/>
    </row>
    <row r="148" spans="1:16" ht="19.5" customHeight="1">
      <c r="A148" s="1891"/>
      <c r="B148" s="1899"/>
      <c r="C148" s="110">
        <v>2018</v>
      </c>
      <c r="D148" s="37"/>
      <c r="E148" s="37"/>
      <c r="F148" s="38"/>
      <c r="G148" s="178"/>
      <c r="H148" s="178"/>
      <c r="I148" s="213">
        <f t="shared" si="14"/>
        <v>0</v>
      </c>
      <c r="J148" s="217"/>
      <c r="K148" s="218"/>
      <c r="L148" s="217"/>
      <c r="M148" s="218"/>
      <c r="N148" s="219"/>
      <c r="O148" s="165"/>
      <c r="P148" s="165"/>
    </row>
    <row r="149" spans="1:16" ht="19.5" customHeight="1">
      <c r="A149" s="1891"/>
      <c r="B149" s="1899"/>
      <c r="C149" s="110">
        <v>2019</v>
      </c>
      <c r="D149" s="37"/>
      <c r="E149" s="37"/>
      <c r="F149" s="38"/>
      <c r="G149" s="178"/>
      <c r="H149" s="178"/>
      <c r="I149" s="213">
        <f t="shared" si="14"/>
        <v>0</v>
      </c>
      <c r="J149" s="217"/>
      <c r="K149" s="218"/>
      <c r="L149" s="217"/>
      <c r="M149" s="218"/>
      <c r="N149" s="219"/>
      <c r="O149" s="165"/>
      <c r="P149" s="165"/>
    </row>
    <row r="150" spans="1:16" ht="18.75" customHeight="1">
      <c r="A150" s="1891"/>
      <c r="B150" s="1899"/>
      <c r="C150" s="110">
        <v>2020</v>
      </c>
      <c r="D150" s="37"/>
      <c r="E150" s="37"/>
      <c r="F150" s="38"/>
      <c r="G150" s="178"/>
      <c r="H150" s="178"/>
      <c r="I150" s="213">
        <f t="shared" si="14"/>
        <v>0</v>
      </c>
      <c r="J150" s="217"/>
      <c r="K150" s="218"/>
      <c r="L150" s="217"/>
      <c r="M150" s="218"/>
      <c r="N150" s="219"/>
      <c r="O150" s="165"/>
      <c r="P150" s="165"/>
    </row>
    <row r="151" spans="1:16" ht="18" customHeight="1" thickBot="1">
      <c r="A151" s="1893"/>
      <c r="B151" s="1900"/>
      <c r="C151" s="113" t="s">
        <v>13</v>
      </c>
      <c r="D151" s="139">
        <f>SUM(D144:D150)</f>
        <v>0</v>
      </c>
      <c r="E151" s="139">
        <f t="shared" ref="E151:I151" si="15">SUM(E144:E150)</f>
        <v>0</v>
      </c>
      <c r="F151" s="139">
        <f t="shared" si="15"/>
        <v>0</v>
      </c>
      <c r="G151" s="139">
        <f t="shared" si="15"/>
        <v>0</v>
      </c>
      <c r="H151" s="139">
        <f t="shared" si="15"/>
        <v>0</v>
      </c>
      <c r="I151" s="220">
        <f t="shared" si="15"/>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2047" t="s">
        <v>105</v>
      </c>
      <c r="B153" s="2048" t="s">
        <v>179</v>
      </c>
      <c r="C153" s="2049" t="s">
        <v>9</v>
      </c>
      <c r="D153" s="557" t="s">
        <v>106</v>
      </c>
      <c r="E153" s="557"/>
      <c r="F153" s="558"/>
      <c r="G153" s="558"/>
      <c r="H153" s="557" t="s">
        <v>107</v>
      </c>
      <c r="I153" s="557"/>
      <c r="J153" s="559"/>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1898"/>
      <c r="B155" s="1899"/>
      <c r="C155" s="233">
        <v>2014</v>
      </c>
      <c r="D155" s="214"/>
      <c r="E155" s="175"/>
      <c r="F155" s="215"/>
      <c r="G155" s="213">
        <f>SUM(D155:F155)</f>
        <v>0</v>
      </c>
      <c r="H155" s="214"/>
      <c r="I155" s="175"/>
      <c r="J155" s="176"/>
      <c r="O155" s="165"/>
      <c r="P155" s="165"/>
    </row>
    <row r="156" spans="1:16" ht="19.5" customHeight="1">
      <c r="A156" s="1891"/>
      <c r="B156" s="1899"/>
      <c r="C156" s="234">
        <v>2015</v>
      </c>
      <c r="D156" s="217"/>
      <c r="E156" s="178"/>
      <c r="F156" s="218"/>
      <c r="G156" s="213">
        <f t="shared" ref="G156:G161" si="16">SUM(D156:F156)</f>
        <v>0</v>
      </c>
      <c r="H156" s="217"/>
      <c r="I156" s="178"/>
      <c r="J156" s="179"/>
      <c r="O156" s="165"/>
      <c r="P156" s="165"/>
    </row>
    <row r="157" spans="1:16" ht="17.25" customHeight="1">
      <c r="A157" s="1891"/>
      <c r="B157" s="1899"/>
      <c r="C157" s="234">
        <v>2016</v>
      </c>
      <c r="D157" s="217"/>
      <c r="E157" s="178"/>
      <c r="F157" s="218"/>
      <c r="G157" s="213">
        <f t="shared" si="16"/>
        <v>0</v>
      </c>
      <c r="H157" s="217"/>
      <c r="I157" s="178"/>
      <c r="J157" s="179"/>
      <c r="O157" s="165"/>
      <c r="P157" s="165"/>
    </row>
    <row r="158" spans="1:16" ht="15" customHeight="1">
      <c r="A158" s="1891"/>
      <c r="B158" s="1899"/>
      <c r="C158" s="234">
        <v>2017</v>
      </c>
      <c r="D158" s="217"/>
      <c r="E158" s="178"/>
      <c r="F158" s="218"/>
      <c r="G158" s="213">
        <f t="shared" si="16"/>
        <v>0</v>
      </c>
      <c r="H158" s="217"/>
      <c r="I158" s="178"/>
      <c r="J158" s="179"/>
      <c r="O158" s="165"/>
      <c r="P158" s="165"/>
    </row>
    <row r="159" spans="1:16" ht="19.5" customHeight="1">
      <c r="A159" s="1891"/>
      <c r="B159" s="1899"/>
      <c r="C159" s="234">
        <v>2018</v>
      </c>
      <c r="D159" s="217"/>
      <c r="E159" s="178"/>
      <c r="F159" s="218"/>
      <c r="G159" s="213">
        <f t="shared" si="16"/>
        <v>0</v>
      </c>
      <c r="H159" s="217"/>
      <c r="I159" s="178"/>
      <c r="J159" s="179"/>
      <c r="O159" s="165"/>
      <c r="P159" s="165"/>
    </row>
    <row r="160" spans="1:16" ht="15" customHeight="1">
      <c r="A160" s="1891"/>
      <c r="B160" s="1899"/>
      <c r="C160" s="234">
        <v>2019</v>
      </c>
      <c r="D160" s="217"/>
      <c r="E160" s="178"/>
      <c r="F160" s="218"/>
      <c r="G160" s="213">
        <f t="shared" si="16"/>
        <v>0</v>
      </c>
      <c r="H160" s="217"/>
      <c r="I160" s="178"/>
      <c r="J160" s="179"/>
      <c r="O160" s="165"/>
      <c r="P160" s="165"/>
    </row>
    <row r="161" spans="1:18" ht="17.25" customHeight="1">
      <c r="A161" s="1891"/>
      <c r="B161" s="1899"/>
      <c r="C161" s="234">
        <v>2020</v>
      </c>
      <c r="D161" s="217"/>
      <c r="E161" s="178"/>
      <c r="F161" s="218"/>
      <c r="G161" s="213">
        <f t="shared" si="16"/>
        <v>0</v>
      </c>
      <c r="H161" s="217"/>
      <c r="I161" s="178"/>
      <c r="J161" s="179"/>
      <c r="O161" s="165"/>
      <c r="P161" s="165"/>
    </row>
    <row r="162" spans="1:18" ht="15.75" thickBot="1">
      <c r="A162" s="1893"/>
      <c r="B162" s="1900"/>
      <c r="C162" s="235" t="s">
        <v>13</v>
      </c>
      <c r="D162" s="221">
        <f t="shared" ref="D162:G162" si="17">SUM(D155:D161)</f>
        <v>0</v>
      </c>
      <c r="E162" s="181">
        <f t="shared" si="17"/>
        <v>0</v>
      </c>
      <c r="F162" s="222">
        <f t="shared" si="17"/>
        <v>0</v>
      </c>
      <c r="G162" s="222">
        <f t="shared" si="17"/>
        <v>0</v>
      </c>
      <c r="H162" s="221">
        <f>SUM(H155:H161)</f>
        <v>0</v>
      </c>
      <c r="I162" s="181">
        <f>SUM(I155:I161)</f>
        <v>0</v>
      </c>
      <c r="J162" s="236">
        <f>SUM(J155:J161)</f>
        <v>0</v>
      </c>
    </row>
    <row r="163" spans="1:18" ht="24.75" customHeight="1" thickBot="1">
      <c r="A163" s="237"/>
      <c r="B163" s="238"/>
      <c r="C163" s="239"/>
      <c r="D163" s="165"/>
      <c r="E163" s="560"/>
      <c r="F163" s="165"/>
      <c r="G163" s="165"/>
      <c r="H163" s="165"/>
      <c r="I163" s="165"/>
      <c r="J163" s="241"/>
      <c r="K163" s="242"/>
    </row>
    <row r="164" spans="1:18" ht="95.25" customHeight="1">
      <c r="A164" s="243" t="s">
        <v>115</v>
      </c>
      <c r="B164" s="405" t="s">
        <v>181</v>
      </c>
      <c r="C164" s="1567" t="s">
        <v>9</v>
      </c>
      <c r="D164" s="246" t="s">
        <v>117</v>
      </c>
      <c r="E164" s="246" t="s">
        <v>118</v>
      </c>
      <c r="F164" s="561" t="s">
        <v>119</v>
      </c>
      <c r="G164" s="246" t="s">
        <v>120</v>
      </c>
      <c r="H164" s="246" t="s">
        <v>121</v>
      </c>
      <c r="I164" s="248" t="s">
        <v>122</v>
      </c>
      <c r="J164" s="249" t="s">
        <v>123</v>
      </c>
      <c r="K164" s="249" t="s">
        <v>124</v>
      </c>
      <c r="L164" s="1531"/>
    </row>
    <row r="165" spans="1:18" ht="15.75" customHeight="1">
      <c r="A165" s="1878"/>
      <c r="B165" s="1879"/>
      <c r="C165" s="251">
        <v>2014</v>
      </c>
      <c r="D165" s="175"/>
      <c r="E165" s="175"/>
      <c r="F165" s="175"/>
      <c r="G165" s="175"/>
      <c r="H165" s="175"/>
      <c r="I165" s="176"/>
      <c r="J165" s="252">
        <f>SUM(D165,F165,H165)</f>
        <v>0</v>
      </c>
      <c r="K165" s="253">
        <f>SUM(E165,G165,I165)</f>
        <v>0</v>
      </c>
      <c r="L165" s="1531"/>
    </row>
    <row r="166" spans="1:18">
      <c r="A166" s="1880"/>
      <c r="B166" s="1881"/>
      <c r="C166" s="254">
        <v>2015</v>
      </c>
      <c r="D166" s="255"/>
      <c r="E166" s="255"/>
      <c r="F166" s="255"/>
      <c r="G166" s="255"/>
      <c r="H166" s="255"/>
      <c r="I166" s="256"/>
      <c r="J166" s="407">
        <f t="shared" ref="J166:K171" si="18">SUM(D166,F166,H166)</f>
        <v>0</v>
      </c>
      <c r="K166" s="408">
        <f t="shared" si="18"/>
        <v>0</v>
      </c>
      <c r="L166" s="1531"/>
    </row>
    <row r="167" spans="1:18">
      <c r="A167" s="1880"/>
      <c r="B167" s="1881"/>
      <c r="C167" s="254">
        <v>2016</v>
      </c>
      <c r="D167" s="255"/>
      <c r="E167" s="255"/>
      <c r="F167" s="255"/>
      <c r="G167" s="255"/>
      <c r="H167" s="255"/>
      <c r="I167" s="256"/>
      <c r="J167" s="407">
        <f t="shared" si="18"/>
        <v>0</v>
      </c>
      <c r="K167" s="408">
        <f t="shared" si="18"/>
        <v>0</v>
      </c>
    </row>
    <row r="168" spans="1:18">
      <c r="A168" s="1880"/>
      <c r="B168" s="1881"/>
      <c r="C168" s="254">
        <v>2017</v>
      </c>
      <c r="D168" s="255"/>
      <c r="E168" s="165"/>
      <c r="F168" s="255"/>
      <c r="G168" s="255"/>
      <c r="H168" s="255"/>
      <c r="I168" s="256"/>
      <c r="J168" s="407">
        <f t="shared" si="18"/>
        <v>0</v>
      </c>
      <c r="K168" s="408">
        <f t="shared" si="18"/>
        <v>0</v>
      </c>
    </row>
    <row r="169" spans="1:18">
      <c r="A169" s="1880"/>
      <c r="B169" s="1881"/>
      <c r="C169" s="262">
        <v>2018</v>
      </c>
      <c r="D169" s="255"/>
      <c r="E169" s="255"/>
      <c r="F169" s="255"/>
      <c r="G169" s="263"/>
      <c r="H169" s="255"/>
      <c r="I169" s="256"/>
      <c r="J169" s="407">
        <f t="shared" si="18"/>
        <v>0</v>
      </c>
      <c r="K169" s="408">
        <f t="shared" si="18"/>
        <v>0</v>
      </c>
      <c r="L169" s="1531"/>
    </row>
    <row r="170" spans="1:18">
      <c r="A170" s="1880"/>
      <c r="B170" s="1881"/>
      <c r="C170" s="254">
        <v>2019</v>
      </c>
      <c r="D170" s="165"/>
      <c r="E170" s="255"/>
      <c r="F170" s="255"/>
      <c r="G170" s="255"/>
      <c r="H170" s="263"/>
      <c r="I170" s="256"/>
      <c r="J170" s="407">
        <f t="shared" si="18"/>
        <v>0</v>
      </c>
      <c r="K170" s="408">
        <f t="shared" si="18"/>
        <v>0</v>
      </c>
      <c r="L170" s="1531"/>
    </row>
    <row r="171" spans="1:18">
      <c r="A171" s="1880"/>
      <c r="B171" s="1881"/>
      <c r="C171" s="262">
        <v>2020</v>
      </c>
      <c r="D171" s="255"/>
      <c r="E171" s="255"/>
      <c r="F171" s="255"/>
      <c r="G171" s="255"/>
      <c r="H171" s="255"/>
      <c r="I171" s="256"/>
      <c r="J171" s="407">
        <f t="shared" si="18"/>
        <v>0</v>
      </c>
      <c r="K171" s="408">
        <f t="shared" si="18"/>
        <v>0</v>
      </c>
      <c r="L171" s="1531"/>
    </row>
    <row r="172" spans="1:18" ht="41.25" customHeight="1" thickBot="1">
      <c r="A172" s="1882"/>
      <c r="B172" s="1883"/>
      <c r="C172" s="265" t="s">
        <v>13</v>
      </c>
      <c r="D172" s="181">
        <f>SUM(D165:D171)</f>
        <v>0</v>
      </c>
      <c r="E172" s="181">
        <f t="shared" ref="E172:K172" si="19">SUM(E165:E171)</f>
        <v>0</v>
      </c>
      <c r="F172" s="181">
        <f t="shared" si="19"/>
        <v>0</v>
      </c>
      <c r="G172" s="181">
        <f t="shared" si="19"/>
        <v>0</v>
      </c>
      <c r="H172" s="181">
        <f t="shared" si="19"/>
        <v>0</v>
      </c>
      <c r="I172" s="409">
        <f t="shared" si="19"/>
        <v>0</v>
      </c>
      <c r="J172" s="410">
        <f t="shared" si="19"/>
        <v>0</v>
      </c>
      <c r="K172" s="221">
        <f t="shared" si="19"/>
        <v>0</v>
      </c>
      <c r="L172" s="1531"/>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039" t="s">
        <v>127</v>
      </c>
      <c r="B176" s="2037" t="s">
        <v>182</v>
      </c>
      <c r="C176" s="2040" t="s">
        <v>9</v>
      </c>
      <c r="D176" s="273" t="s">
        <v>128</v>
      </c>
      <c r="E176" s="562"/>
      <c r="F176" s="562"/>
      <c r="G176" s="563"/>
      <c r="H176" s="276"/>
      <c r="I176" s="1888" t="s">
        <v>129</v>
      </c>
      <c r="J176" s="2041"/>
      <c r="K176" s="2041"/>
      <c r="L176" s="2041"/>
      <c r="M176" s="2041"/>
      <c r="N176" s="2041"/>
      <c r="O176" s="2042"/>
    </row>
    <row r="177" spans="1:15" s="56" customFormat="1" ht="129.7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2212" t="s">
        <v>502</v>
      </c>
      <c r="B178" s="2092"/>
      <c r="C178" s="106">
        <v>2014</v>
      </c>
      <c r="D178" s="30"/>
      <c r="E178" s="31"/>
      <c r="F178" s="31"/>
      <c r="G178" s="284">
        <f>SUM(D178:F178)</f>
        <v>0</v>
      </c>
      <c r="H178" s="155"/>
      <c r="I178" s="155"/>
      <c r="J178" s="31"/>
      <c r="K178" s="31"/>
      <c r="L178" s="31"/>
      <c r="M178" s="31"/>
      <c r="N178" s="31"/>
      <c r="O178" s="34"/>
    </row>
    <row r="179" spans="1:15">
      <c r="A179" s="2212"/>
      <c r="B179" s="2092"/>
      <c r="C179" s="110">
        <v>2015</v>
      </c>
      <c r="D179" s="37">
        <v>2</v>
      </c>
      <c r="E179" s="38"/>
      <c r="F179" s="38"/>
      <c r="G179" s="284">
        <f t="shared" ref="G179:G184" si="20">SUM(D179:F179)</f>
        <v>2</v>
      </c>
      <c r="H179" s="411">
        <v>2</v>
      </c>
      <c r="I179" s="112">
        <v>2</v>
      </c>
      <c r="J179" s="38"/>
      <c r="K179" s="38"/>
      <c r="L179" s="38"/>
      <c r="M179" s="38"/>
      <c r="N179" s="38"/>
      <c r="O179" s="88"/>
    </row>
    <row r="180" spans="1:15">
      <c r="A180" s="2212"/>
      <c r="B180" s="2092"/>
      <c r="C180" s="110">
        <v>2016</v>
      </c>
      <c r="D180" s="37">
        <f>21+2+7</f>
        <v>30</v>
      </c>
      <c r="E180" s="38">
        <v>3</v>
      </c>
      <c r="F180" s="38">
        <f>12+5</f>
        <v>17</v>
      </c>
      <c r="G180" s="284">
        <f t="shared" si="20"/>
        <v>50</v>
      </c>
      <c r="H180" s="411">
        <v>56</v>
      </c>
      <c r="I180" s="112">
        <v>50</v>
      </c>
      <c r="J180" s="38"/>
      <c r="K180" s="38"/>
      <c r="L180" s="38"/>
      <c r="M180" s="38"/>
      <c r="N180" s="38"/>
      <c r="O180" s="88"/>
    </row>
    <row r="181" spans="1:15">
      <c r="A181" s="2212"/>
      <c r="B181" s="2092"/>
      <c r="C181" s="110">
        <v>2017</v>
      </c>
      <c r="D181" s="37"/>
      <c r="E181" s="38">
        <v>2</v>
      </c>
      <c r="F181" s="38">
        <f>6+1+1+2+3+4</f>
        <v>17</v>
      </c>
      <c r="G181" s="284">
        <f t="shared" si="20"/>
        <v>19</v>
      </c>
      <c r="H181" s="411">
        <f>13+14</f>
        <v>27</v>
      </c>
      <c r="I181" s="112">
        <v>19</v>
      </c>
      <c r="J181" s="38"/>
      <c r="K181" s="38"/>
      <c r="L181" s="38"/>
      <c r="M181" s="38"/>
      <c r="N181" s="38"/>
      <c r="O181" s="88"/>
    </row>
    <row r="182" spans="1:15">
      <c r="A182" s="2212"/>
      <c r="B182" s="2092"/>
      <c r="C182" s="110">
        <v>2018</v>
      </c>
      <c r="D182" s="37"/>
      <c r="E182" s="38"/>
      <c r="F182" s="38"/>
      <c r="G182" s="284">
        <f t="shared" si="20"/>
        <v>0</v>
      </c>
      <c r="H182" s="411"/>
      <c r="I182" s="112"/>
      <c r="J182" s="38"/>
      <c r="K182" s="38"/>
      <c r="L182" s="38"/>
      <c r="M182" s="38"/>
      <c r="N182" s="38"/>
      <c r="O182" s="88"/>
    </row>
    <row r="183" spans="1:15">
      <c r="A183" s="2212"/>
      <c r="B183" s="2092"/>
      <c r="C183" s="110">
        <v>2019</v>
      </c>
      <c r="D183" s="37"/>
      <c r="E183" s="38"/>
      <c r="F183" s="38"/>
      <c r="G183" s="284">
        <f t="shared" si="20"/>
        <v>0</v>
      </c>
      <c r="H183" s="411"/>
      <c r="I183" s="112"/>
      <c r="J183" s="38"/>
      <c r="K183" s="38"/>
      <c r="L183" s="38"/>
      <c r="M183" s="38"/>
      <c r="N183" s="38"/>
      <c r="O183" s="88"/>
    </row>
    <row r="184" spans="1:15">
      <c r="A184" s="2212"/>
      <c r="B184" s="2092"/>
      <c r="C184" s="110">
        <v>2020</v>
      </c>
      <c r="D184" s="37"/>
      <c r="E184" s="38"/>
      <c r="F184" s="38"/>
      <c r="G184" s="284">
        <f t="shared" si="20"/>
        <v>0</v>
      </c>
      <c r="H184" s="411"/>
      <c r="I184" s="112"/>
      <c r="J184" s="38"/>
      <c r="K184" s="38"/>
      <c r="L184" s="38"/>
      <c r="M184" s="38"/>
      <c r="N184" s="38"/>
      <c r="O184" s="88"/>
    </row>
    <row r="185" spans="1:15" ht="266.25" customHeight="1" thickBot="1">
      <c r="A185" s="2499"/>
      <c r="B185" s="2093"/>
      <c r="C185" s="113" t="s">
        <v>13</v>
      </c>
      <c r="D185" s="139">
        <f>SUM(D178:D184)</f>
        <v>32</v>
      </c>
      <c r="E185" s="116">
        <f>SUM(E178:E184)</f>
        <v>5</v>
      </c>
      <c r="F185" s="116">
        <f>SUM(F178:F184)</f>
        <v>34</v>
      </c>
      <c r="G185" s="220">
        <f t="shared" ref="G185:O185" si="21">SUM(G178:G184)</f>
        <v>71</v>
      </c>
      <c r="H185" s="285">
        <f t="shared" si="21"/>
        <v>85</v>
      </c>
      <c r="I185" s="115">
        <f t="shared" si="21"/>
        <v>71</v>
      </c>
      <c r="J185" s="116">
        <f t="shared" si="21"/>
        <v>0</v>
      </c>
      <c r="K185" s="116">
        <f t="shared" si="21"/>
        <v>0</v>
      </c>
      <c r="L185" s="116">
        <f t="shared" si="21"/>
        <v>0</v>
      </c>
      <c r="M185" s="116">
        <f t="shared" si="21"/>
        <v>0</v>
      </c>
      <c r="N185" s="116">
        <f t="shared" si="21"/>
        <v>0</v>
      </c>
      <c r="O185" s="117">
        <f t="shared" si="21"/>
        <v>0</v>
      </c>
    </row>
    <row r="186" spans="1:15" ht="33" customHeight="1" thickBot="1"/>
    <row r="187" spans="1:15" ht="19.5" customHeight="1">
      <c r="A187" s="1861" t="s">
        <v>137</v>
      </c>
      <c r="B187" s="2037" t="s">
        <v>182</v>
      </c>
      <c r="C187" s="1865" t="s">
        <v>9</v>
      </c>
      <c r="D187" s="1867" t="s">
        <v>138</v>
      </c>
      <c r="E187" s="2038"/>
      <c r="F187" s="2038"/>
      <c r="G187" s="1869"/>
      <c r="H187" s="1870" t="s">
        <v>139</v>
      </c>
      <c r="I187" s="1865"/>
      <c r="J187" s="1865"/>
      <c r="K187" s="1865"/>
      <c r="L187" s="1871"/>
    </row>
    <row r="188" spans="1:15" ht="128.25">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2212" t="s">
        <v>503</v>
      </c>
      <c r="B189" s="2092"/>
      <c r="C189" s="290">
        <v>2014</v>
      </c>
      <c r="D189" s="133"/>
      <c r="E189" s="109"/>
      <c r="F189" s="109"/>
      <c r="G189" s="291">
        <f>SUM(D189:F189)</f>
        <v>0</v>
      </c>
      <c r="H189" s="108"/>
      <c r="I189" s="109"/>
      <c r="J189" s="109"/>
      <c r="K189" s="109"/>
      <c r="L189" s="134"/>
    </row>
    <row r="190" spans="1:15">
      <c r="A190" s="2212"/>
      <c r="B190" s="2092"/>
      <c r="C190" s="73">
        <v>2015</v>
      </c>
      <c r="D190" s="37"/>
      <c r="E190" s="38"/>
      <c r="F190" s="38"/>
      <c r="G190" s="291">
        <f t="shared" ref="G190:G195" si="22">SUM(D190:F190)</f>
        <v>0</v>
      </c>
      <c r="H190" s="112"/>
      <c r="I190" s="38"/>
      <c r="J190" s="38"/>
      <c r="K190" s="38"/>
      <c r="L190" s="88"/>
    </row>
    <row r="191" spans="1:15">
      <c r="A191" s="2212"/>
      <c r="B191" s="2092"/>
      <c r="C191" s="73">
        <v>2016</v>
      </c>
      <c r="D191" s="37">
        <v>671</v>
      </c>
      <c r="E191" s="38">
        <v>135</v>
      </c>
      <c r="F191" s="38">
        <v>24</v>
      </c>
      <c r="G191" s="291">
        <f t="shared" si="22"/>
        <v>830</v>
      </c>
      <c r="H191" s="112"/>
      <c r="I191" s="38"/>
      <c r="J191" s="38">
        <v>23</v>
      </c>
      <c r="K191" s="38"/>
      <c r="L191" s="88">
        <v>807</v>
      </c>
    </row>
    <row r="192" spans="1:15">
      <c r="A192" s="2212"/>
      <c r="B192" s="2092"/>
      <c r="C192" s="73">
        <v>2017</v>
      </c>
      <c r="D192" s="37">
        <f>76+6+2+6+65+11</f>
        <v>166</v>
      </c>
      <c r="E192" s="38">
        <f>35+40</f>
        <v>75</v>
      </c>
      <c r="F192" s="38"/>
      <c r="G192" s="291">
        <f t="shared" si="22"/>
        <v>241</v>
      </c>
      <c r="H192" s="112"/>
      <c r="I192" s="38"/>
      <c r="J192" s="38">
        <f>23+18</f>
        <v>41</v>
      </c>
      <c r="K192" s="38"/>
      <c r="L192" s="88">
        <f>G192-J192</f>
        <v>200</v>
      </c>
    </row>
    <row r="193" spans="1:14">
      <c r="A193" s="2212"/>
      <c r="B193" s="2092"/>
      <c r="C193" s="73">
        <v>2018</v>
      </c>
      <c r="D193" s="37"/>
      <c r="E193" s="38"/>
      <c r="F193" s="38"/>
      <c r="G193" s="291">
        <f t="shared" si="22"/>
        <v>0</v>
      </c>
      <c r="H193" s="112"/>
      <c r="I193" s="38"/>
      <c r="J193" s="38"/>
      <c r="K193" s="38"/>
      <c r="L193" s="88"/>
    </row>
    <row r="194" spans="1:14">
      <c r="A194" s="2212"/>
      <c r="B194" s="2092"/>
      <c r="C194" s="73">
        <v>2019</v>
      </c>
      <c r="D194" s="37"/>
      <c r="E194" s="38"/>
      <c r="F194" s="38"/>
      <c r="G194" s="291">
        <f t="shared" si="22"/>
        <v>0</v>
      </c>
      <c r="H194" s="112"/>
      <c r="I194" s="38"/>
      <c r="J194" s="38"/>
      <c r="K194" s="38"/>
      <c r="L194" s="88"/>
    </row>
    <row r="195" spans="1:14">
      <c r="A195" s="2212"/>
      <c r="B195" s="2092"/>
      <c r="C195" s="73">
        <v>2020</v>
      </c>
      <c r="D195" s="37"/>
      <c r="E195" s="38"/>
      <c r="F195" s="38"/>
      <c r="G195" s="291">
        <f t="shared" si="22"/>
        <v>0</v>
      </c>
      <c r="H195" s="112"/>
      <c r="I195" s="38"/>
      <c r="J195" s="38"/>
      <c r="K195" s="38"/>
      <c r="L195" s="88"/>
    </row>
    <row r="196" spans="1:14" ht="245.25" customHeight="1" thickBot="1">
      <c r="A196" s="2499"/>
      <c r="B196" s="2093"/>
      <c r="C196" s="136" t="s">
        <v>13</v>
      </c>
      <c r="D196" s="139">
        <f t="shared" ref="D196:L196" si="23">SUM(D189:D195)</f>
        <v>837</v>
      </c>
      <c r="E196" s="116">
        <f t="shared" si="23"/>
        <v>210</v>
      </c>
      <c r="F196" s="116">
        <f t="shared" si="23"/>
        <v>24</v>
      </c>
      <c r="G196" s="292">
        <f t="shared" si="23"/>
        <v>1071</v>
      </c>
      <c r="H196" s="115">
        <f t="shared" si="23"/>
        <v>0</v>
      </c>
      <c r="I196" s="116">
        <f t="shared" si="23"/>
        <v>0</v>
      </c>
      <c r="J196" s="116">
        <f t="shared" si="23"/>
        <v>64</v>
      </c>
      <c r="K196" s="116">
        <f t="shared" si="23"/>
        <v>0</v>
      </c>
      <c r="L196" s="117">
        <f t="shared" si="23"/>
        <v>1007</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569" t="s">
        <v>150</v>
      </c>
      <c r="B201" s="417" t="s">
        <v>182</v>
      </c>
      <c r="C201" s="298" t="s">
        <v>9</v>
      </c>
      <c r="D201" s="299" t="s">
        <v>151</v>
      </c>
      <c r="E201" s="300" t="s">
        <v>152</v>
      </c>
      <c r="F201" s="300" t="s">
        <v>153</v>
      </c>
      <c r="G201" s="298" t="s">
        <v>154</v>
      </c>
      <c r="H201" s="570" t="s">
        <v>155</v>
      </c>
      <c r="I201" s="302" t="s">
        <v>156</v>
      </c>
      <c r="J201" s="303" t="s">
        <v>157</v>
      </c>
      <c r="K201" s="300" t="s">
        <v>158</v>
      </c>
      <c r="L201" s="304" t="s">
        <v>159</v>
      </c>
    </row>
    <row r="202" spans="1:14" ht="15" customHeight="1">
      <c r="A202" s="1854"/>
      <c r="B202" s="1855"/>
      <c r="C202" s="72">
        <v>2014</v>
      </c>
      <c r="D202" s="30"/>
      <c r="E202" s="31"/>
      <c r="F202" s="31"/>
      <c r="G202" s="29"/>
      <c r="H202" s="305"/>
      <c r="I202" s="306"/>
      <c r="J202" s="307"/>
      <c r="K202" s="31"/>
      <c r="L202" s="34"/>
    </row>
    <row r="203" spans="1:14">
      <c r="A203" s="1854"/>
      <c r="B203" s="1855"/>
      <c r="C203" s="73">
        <v>2015</v>
      </c>
      <c r="D203" s="37"/>
      <c r="E203" s="38"/>
      <c r="F203" s="38"/>
      <c r="G203" s="36"/>
      <c r="H203" s="308"/>
      <c r="I203" s="309"/>
      <c r="J203" s="310"/>
      <c r="K203" s="38"/>
      <c r="L203" s="88"/>
    </row>
    <row r="204" spans="1:14">
      <c r="A204" s="1854"/>
      <c r="B204" s="1855"/>
      <c r="C204" s="73">
        <v>2016</v>
      </c>
      <c r="D204" s="37"/>
      <c r="E204" s="38"/>
      <c r="F204" s="38"/>
      <c r="G204" s="36"/>
      <c r="H204" s="308"/>
      <c r="I204" s="309"/>
      <c r="J204" s="310"/>
      <c r="K204" s="38"/>
      <c r="L204" s="88"/>
    </row>
    <row r="205" spans="1:14">
      <c r="A205" s="1854"/>
      <c r="B205" s="1855"/>
      <c r="C205" s="73">
        <v>2017</v>
      </c>
      <c r="D205" s="37"/>
      <c r="E205" s="38"/>
      <c r="F205" s="38"/>
      <c r="G205" s="36"/>
      <c r="H205" s="308"/>
      <c r="I205" s="309"/>
      <c r="J205" s="310"/>
      <c r="K205" s="38"/>
      <c r="L205" s="88"/>
    </row>
    <row r="206" spans="1:14">
      <c r="A206" s="1854"/>
      <c r="B206" s="1855"/>
      <c r="C206" s="73">
        <v>2018</v>
      </c>
      <c r="D206" s="37"/>
      <c r="E206" s="38"/>
      <c r="F206" s="38"/>
      <c r="G206" s="36"/>
      <c r="H206" s="308"/>
      <c r="I206" s="309"/>
      <c r="J206" s="310"/>
      <c r="K206" s="38"/>
      <c r="L206" s="88"/>
    </row>
    <row r="207" spans="1:14">
      <c r="A207" s="1854"/>
      <c r="B207" s="1855"/>
      <c r="C207" s="73">
        <v>2019</v>
      </c>
      <c r="D207" s="37"/>
      <c r="E207" s="38"/>
      <c r="F207" s="38"/>
      <c r="G207" s="36"/>
      <c r="H207" s="308"/>
      <c r="I207" s="309"/>
      <c r="J207" s="310"/>
      <c r="K207" s="38"/>
      <c r="L207" s="88"/>
    </row>
    <row r="208" spans="1:14">
      <c r="A208" s="1854"/>
      <c r="B208" s="1855"/>
      <c r="C208" s="73">
        <v>2020</v>
      </c>
      <c r="D208" s="1533"/>
      <c r="E208" s="312"/>
      <c r="F208" s="312"/>
      <c r="G208" s="313"/>
      <c r="H208" s="314"/>
      <c r="I208" s="315"/>
      <c r="J208" s="316"/>
      <c r="K208" s="312"/>
      <c r="L208" s="317"/>
    </row>
    <row r="209" spans="1:12" ht="20.25" customHeight="1" thickBot="1">
      <c r="A209" s="1856"/>
      <c r="B209" s="1857"/>
      <c r="C209" s="136" t="s">
        <v>13</v>
      </c>
      <c r="D209" s="139">
        <f>SUM(D202:D208)</f>
        <v>0</v>
      </c>
      <c r="E209" s="139">
        <f t="shared" ref="E209:L209" si="24">SUM(E202:E208)</f>
        <v>0</v>
      </c>
      <c r="F209" s="139">
        <f t="shared" si="24"/>
        <v>0</v>
      </c>
      <c r="G209" s="139">
        <f t="shared" si="24"/>
        <v>0</v>
      </c>
      <c r="H209" s="139">
        <f t="shared" si="24"/>
        <v>0</v>
      </c>
      <c r="I209" s="139">
        <f t="shared" si="24"/>
        <v>0</v>
      </c>
      <c r="J209" s="139">
        <f t="shared" si="24"/>
        <v>0</v>
      </c>
      <c r="K209" s="139">
        <f t="shared" si="24"/>
        <v>0</v>
      </c>
      <c r="L209" s="139">
        <f t="shared" si="24"/>
        <v>0</v>
      </c>
    </row>
    <row r="211" spans="1:12" ht="15.75" thickBot="1"/>
    <row r="212" spans="1:12" ht="29.25">
      <c r="A212" s="571" t="s">
        <v>161</v>
      </c>
      <c r="B212" s="322" t="s">
        <v>162</v>
      </c>
      <c r="C212" s="323">
        <v>2014</v>
      </c>
      <c r="D212" s="324">
        <v>2015</v>
      </c>
      <c r="E212" s="324">
        <v>2016</v>
      </c>
      <c r="F212" s="324">
        <v>2017</v>
      </c>
      <c r="G212" s="324">
        <v>2018</v>
      </c>
      <c r="H212" s="324">
        <v>2019</v>
      </c>
      <c r="I212" s="325">
        <v>2020</v>
      </c>
    </row>
    <row r="213" spans="1:12" ht="15" customHeight="1">
      <c r="A213" t="s">
        <v>163</v>
      </c>
      <c r="B213" s="2625" t="s">
        <v>504</v>
      </c>
      <c r="C213" s="72"/>
      <c r="D213" s="135">
        <f>D214</f>
        <v>3699.9799999999996</v>
      </c>
      <c r="E213" s="135">
        <f>SUM(E214:E217)</f>
        <v>258323.45</v>
      </c>
      <c r="F213" s="1712">
        <f>F214+F217</f>
        <v>98399.8</v>
      </c>
      <c r="G213" s="135"/>
      <c r="H213" s="135"/>
      <c r="I213" s="326"/>
    </row>
    <row r="214" spans="1:12">
      <c r="A214" t="s">
        <v>164</v>
      </c>
      <c r="B214" s="2626"/>
      <c r="C214" s="72"/>
      <c r="D214" s="135">
        <f>9884.72-6184.74</f>
        <v>3699.9799999999996</v>
      </c>
      <c r="E214" s="461">
        <f>258323.45-E217</f>
        <v>118319.45000000001</v>
      </c>
      <c r="F214" s="1712">
        <f>8883.3+8686.5</f>
        <v>17569.8</v>
      </c>
      <c r="G214" s="135"/>
      <c r="H214" s="135"/>
      <c r="I214" s="326"/>
      <c r="J214" s="1113"/>
    </row>
    <row r="215" spans="1:12">
      <c r="A215" t="s">
        <v>165</v>
      </c>
      <c r="B215" s="2626"/>
      <c r="C215" s="72"/>
      <c r="D215" s="135"/>
      <c r="E215" s="135"/>
      <c r="F215" s="1712"/>
      <c r="G215" s="135"/>
      <c r="H215" s="135"/>
      <c r="I215" s="326"/>
    </row>
    <row r="216" spans="1:12">
      <c r="A216" t="s">
        <v>166</v>
      </c>
      <c r="B216" s="2626"/>
      <c r="C216" s="72"/>
      <c r="D216" s="135"/>
      <c r="E216" s="135"/>
      <c r="F216" s="1712"/>
      <c r="G216" s="135"/>
      <c r="H216" s="135"/>
      <c r="I216" s="326"/>
    </row>
    <row r="217" spans="1:12">
      <c r="A217" t="s">
        <v>167</v>
      </c>
      <c r="B217" s="2626"/>
      <c r="C217" s="72"/>
      <c r="D217" s="135"/>
      <c r="E217" s="135">
        <f>83945+56059</f>
        <v>140004</v>
      </c>
      <c r="F217" s="1712">
        <f>37230+43600</f>
        <v>80830</v>
      </c>
      <c r="G217" s="135"/>
      <c r="H217" s="135"/>
      <c r="I217" s="326"/>
      <c r="K217">
        <f>E214+E217</f>
        <v>258323.45</v>
      </c>
    </row>
    <row r="218" spans="1:12" ht="30">
      <c r="A218" s="56" t="s">
        <v>168</v>
      </c>
      <c r="B218" s="2626"/>
      <c r="C218" s="72"/>
      <c r="D218" s="135">
        <f>93716.16-D214</f>
        <v>90016.180000000008</v>
      </c>
      <c r="E218" s="461">
        <f>363218.44-E214-E217</f>
        <v>104894.98999999999</v>
      </c>
      <c r="F218" s="1712">
        <f>164399.8-F217-F214</f>
        <v>65999.999999999985</v>
      </c>
      <c r="G218" s="135"/>
      <c r="H218" s="135"/>
      <c r="I218" s="326"/>
    </row>
    <row r="219" spans="1:12" ht="141.75" customHeight="1" thickBot="1">
      <c r="A219" s="1532"/>
      <c r="B219" s="2627"/>
      <c r="C219" s="42" t="s">
        <v>13</v>
      </c>
      <c r="D219" s="333">
        <f>SUM(D214:D218)</f>
        <v>93716.160000000003</v>
      </c>
      <c r="E219" s="333">
        <f t="shared" ref="E219:I219" si="25">SUM(E214:E218)</f>
        <v>363218.44</v>
      </c>
      <c r="F219" s="1617">
        <f>SUM(F214:F218)</f>
        <v>164399.79999999999</v>
      </c>
      <c r="G219" s="333">
        <f t="shared" si="25"/>
        <v>0</v>
      </c>
      <c r="H219" s="333">
        <f t="shared" si="25"/>
        <v>0</v>
      </c>
      <c r="I219" s="333">
        <f t="shared" si="25"/>
        <v>0</v>
      </c>
      <c r="K219" s="1713"/>
    </row>
    <row r="227" spans="1:1">
      <c r="A227" s="56"/>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7"/>
  <sheetViews>
    <sheetView topLeftCell="B31" workbookViewId="0">
      <selection activeCell="F219" sqref="F219"/>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23" customWidth="1"/>
    <col min="14" max="14" width="14" customWidth="1"/>
    <col min="15" max="15" width="13.5703125" customWidth="1"/>
    <col min="16" max="25" width="13.7109375" customWidth="1"/>
  </cols>
  <sheetData>
    <row r="1" spans="1:25" s="1" customFormat="1" ht="31.5">
      <c r="A1" s="334" t="s">
        <v>0</v>
      </c>
      <c r="B1" s="1943" t="s">
        <v>505</v>
      </c>
      <c r="C1" s="1944"/>
      <c r="D1" s="1944"/>
      <c r="E1" s="1944"/>
      <c r="F1" s="1944"/>
    </row>
    <row r="2" spans="1:25" s="1" customFormat="1" ht="20.100000000000001" customHeight="1" thickBot="1"/>
    <row r="3" spans="1:25" s="4" customFormat="1" ht="20.100000000000001" customHeight="1">
      <c r="A3" s="1536" t="s">
        <v>2</v>
      </c>
      <c r="B3" s="1585"/>
      <c r="C3" s="1585"/>
      <c r="D3" s="1585"/>
      <c r="E3" s="1585"/>
      <c r="F3" s="2418"/>
      <c r="G3" s="2418"/>
      <c r="H3" s="2418"/>
      <c r="I3" s="2418"/>
      <c r="J3" s="2418"/>
      <c r="K3" s="2418"/>
      <c r="L3" s="2418"/>
      <c r="M3" s="2418"/>
      <c r="N3" s="2418"/>
      <c r="O3" s="2522"/>
    </row>
    <row r="4" spans="1:25" s="4" customFormat="1" ht="20.100000000000001" customHeight="1">
      <c r="A4" s="2420" t="s">
        <v>170</v>
      </c>
      <c r="B4" s="1948"/>
      <c r="C4" s="1948"/>
      <c r="D4" s="1948"/>
      <c r="E4" s="1948"/>
      <c r="F4" s="1948"/>
      <c r="G4" s="1948"/>
      <c r="H4" s="1948"/>
      <c r="I4" s="1948"/>
      <c r="J4" s="1948"/>
      <c r="K4" s="1948"/>
      <c r="L4" s="1948"/>
      <c r="M4" s="1948"/>
      <c r="N4" s="1948"/>
      <c r="O4" s="1949"/>
    </row>
    <row r="5" spans="1:25" s="4" customFormat="1" ht="20.100000000000001" customHeight="1">
      <c r="A5" s="2420"/>
      <c r="B5" s="1948"/>
      <c r="C5" s="1948"/>
      <c r="D5" s="1948"/>
      <c r="E5" s="1948"/>
      <c r="F5" s="1948"/>
      <c r="G5" s="1948"/>
      <c r="H5" s="1948"/>
      <c r="I5" s="1948"/>
      <c r="J5" s="1948"/>
      <c r="K5" s="1948"/>
      <c r="L5" s="1948"/>
      <c r="M5" s="1948"/>
      <c r="N5" s="1948"/>
      <c r="O5" s="1949"/>
    </row>
    <row r="6" spans="1:25" s="4" customFormat="1" ht="20.100000000000001" customHeight="1">
      <c r="A6" s="2420"/>
      <c r="B6" s="1948"/>
      <c r="C6" s="1948"/>
      <c r="D6" s="1948"/>
      <c r="E6" s="1948"/>
      <c r="F6" s="1948"/>
      <c r="G6" s="1948"/>
      <c r="H6" s="1948"/>
      <c r="I6" s="1948"/>
      <c r="J6" s="1948"/>
      <c r="K6" s="1948"/>
      <c r="L6" s="1948"/>
      <c r="M6" s="1948"/>
      <c r="N6" s="1948"/>
      <c r="O6" s="1949"/>
    </row>
    <row r="7" spans="1:25" s="4" customFormat="1" ht="20.100000000000001" customHeight="1">
      <c r="A7" s="2420"/>
      <c r="B7" s="1948"/>
      <c r="C7" s="1948"/>
      <c r="D7" s="1948"/>
      <c r="E7" s="1948"/>
      <c r="F7" s="1948"/>
      <c r="G7" s="1948"/>
      <c r="H7" s="1948"/>
      <c r="I7" s="1948"/>
      <c r="J7" s="1948"/>
      <c r="K7" s="1948"/>
      <c r="L7" s="1948"/>
      <c r="M7" s="1948"/>
      <c r="N7" s="1948"/>
      <c r="O7" s="1949"/>
    </row>
    <row r="8" spans="1:25" s="4" customFormat="1" ht="20.100000000000001" customHeight="1">
      <c r="A8" s="2420"/>
      <c r="B8" s="1948"/>
      <c r="C8" s="1948"/>
      <c r="D8" s="1948"/>
      <c r="E8" s="1948"/>
      <c r="F8" s="1948"/>
      <c r="G8" s="1948"/>
      <c r="H8" s="1948"/>
      <c r="I8" s="1948"/>
      <c r="J8" s="1948"/>
      <c r="K8" s="1948"/>
      <c r="L8" s="1948"/>
      <c r="M8" s="1948"/>
      <c r="N8" s="1948"/>
      <c r="O8" s="1949"/>
    </row>
    <row r="9" spans="1:25" s="4" customFormat="1" ht="20.100000000000001" customHeight="1">
      <c r="A9" s="2420"/>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515"/>
      <c r="B15" s="516"/>
      <c r="C15" s="10"/>
      <c r="D15" s="1953" t="s">
        <v>5</v>
      </c>
      <c r="E15" s="2012"/>
      <c r="F15" s="2012"/>
      <c r="G15" s="2012"/>
      <c r="H15" s="11"/>
      <c r="I15" s="12" t="s">
        <v>6</v>
      </c>
      <c r="J15" s="13"/>
      <c r="K15" s="13"/>
      <c r="L15" s="13"/>
      <c r="M15" s="13"/>
      <c r="N15" s="13"/>
      <c r="O15" s="14"/>
      <c r="P15" s="15"/>
      <c r="Q15" s="16"/>
      <c r="R15" s="17"/>
      <c r="S15" s="17"/>
      <c r="T15" s="17"/>
      <c r="U15" s="17"/>
      <c r="V15" s="17"/>
      <c r="W15" s="15"/>
      <c r="X15" s="15"/>
      <c r="Y15" s="16"/>
    </row>
    <row r="16" spans="1:25" s="56" customFormat="1" ht="129" customHeight="1">
      <c r="A16" s="1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1874" t="s">
        <v>506</v>
      </c>
      <c r="B17" s="1855"/>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1854"/>
      <c r="B18" s="1855"/>
      <c r="C18" s="36">
        <v>2015</v>
      </c>
      <c r="D18" s="37"/>
      <c r="E18" s="38"/>
      <c r="F18" s="38"/>
      <c r="G18" s="32">
        <f>SUM(D18:F18)</f>
        <v>0</v>
      </c>
      <c r="H18" s="39"/>
      <c r="I18" s="38"/>
      <c r="J18" s="38"/>
      <c r="K18" s="38"/>
      <c r="L18" s="38"/>
      <c r="M18" s="38"/>
      <c r="N18" s="38"/>
      <c r="O18" s="40"/>
      <c r="P18" s="35"/>
      <c r="Q18" s="35"/>
      <c r="R18" s="35"/>
      <c r="S18" s="35"/>
      <c r="T18" s="35"/>
      <c r="U18" s="35"/>
      <c r="V18" s="35"/>
      <c r="W18" s="35"/>
      <c r="X18" s="35"/>
      <c r="Y18" s="35"/>
    </row>
    <row r="19" spans="1:25">
      <c r="A19" s="1854"/>
      <c r="B19" s="1855"/>
      <c r="C19" s="36">
        <v>2016</v>
      </c>
      <c r="D19" s="37">
        <v>5</v>
      </c>
      <c r="E19" s="38"/>
      <c r="F19" s="38"/>
      <c r="G19" s="32">
        <f t="shared" si="0"/>
        <v>5</v>
      </c>
      <c r="H19" s="39">
        <v>4</v>
      </c>
      <c r="I19" s="38">
        <v>1</v>
      </c>
      <c r="J19" s="38"/>
      <c r="K19" s="38"/>
      <c r="L19" s="38"/>
      <c r="M19" s="38"/>
      <c r="N19" s="38"/>
      <c r="O19" s="40"/>
      <c r="P19" s="35" t="s">
        <v>507</v>
      </c>
      <c r="Q19" s="35" t="s">
        <v>508</v>
      </c>
      <c r="R19" s="35"/>
      <c r="S19" s="35"/>
      <c r="T19" s="35"/>
      <c r="U19" s="35"/>
      <c r="V19" s="35"/>
      <c r="W19" s="35"/>
      <c r="X19" s="35"/>
      <c r="Y19" s="35"/>
    </row>
    <row r="20" spans="1:25">
      <c r="A20" s="1854"/>
      <c r="B20" s="1855"/>
      <c r="C20" s="36">
        <v>2017</v>
      </c>
      <c r="D20" s="395"/>
      <c r="E20" s="38"/>
      <c r="F20" s="38"/>
      <c r="G20" s="32">
        <f t="shared" si="0"/>
        <v>0</v>
      </c>
      <c r="H20" s="349"/>
      <c r="I20" s="339"/>
      <c r="J20" s="38"/>
      <c r="K20" s="38"/>
      <c r="L20" s="38"/>
      <c r="M20" s="38"/>
      <c r="N20" s="38"/>
      <c r="O20" s="40"/>
      <c r="P20" s="35" t="s">
        <v>509</v>
      </c>
      <c r="Q20" s="35"/>
      <c r="R20" s="35"/>
      <c r="S20" s="35"/>
      <c r="T20" s="35"/>
      <c r="U20" s="35"/>
      <c r="V20" s="35"/>
      <c r="W20" s="35"/>
      <c r="X20" s="35"/>
      <c r="Y20" s="35"/>
    </row>
    <row r="21" spans="1:25">
      <c r="A21" s="1854"/>
      <c r="B21" s="1855"/>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1854"/>
      <c r="B22" s="1855"/>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1854"/>
      <c r="B23" s="1855"/>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19.5" customHeight="1" thickBot="1">
      <c r="A24" s="1856"/>
      <c r="B24" s="1857"/>
      <c r="C24" s="42" t="s">
        <v>13</v>
      </c>
      <c r="D24" s="43">
        <f>SUM(D17:D23)</f>
        <v>5</v>
      </c>
      <c r="E24" s="44">
        <f>SUM(E17:E23)</f>
        <v>0</v>
      </c>
      <c r="F24" s="44">
        <f>SUM(F17:F23)</f>
        <v>0</v>
      </c>
      <c r="G24" s="45">
        <f>SUM(D24:F24)</f>
        <v>5</v>
      </c>
      <c r="H24" s="46">
        <f>SUM(H17:H23)</f>
        <v>4</v>
      </c>
      <c r="I24" s="47">
        <f>SUM(I17:I23)</f>
        <v>1</v>
      </c>
      <c r="J24" s="47">
        <f t="shared" ref="J24:N24" si="1">SUM(J17:J23)</f>
        <v>0</v>
      </c>
      <c r="K24" s="47">
        <f t="shared" si="1"/>
        <v>0</v>
      </c>
      <c r="L24" s="47">
        <f t="shared" si="1"/>
        <v>0</v>
      </c>
      <c r="M24" s="47">
        <f t="shared" si="1"/>
        <v>0</v>
      </c>
      <c r="N24" s="47">
        <f t="shared" si="1"/>
        <v>0</v>
      </c>
      <c r="O24" s="48">
        <f>SUM(O17:O23)</f>
        <v>0</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515"/>
      <c r="B26" s="516"/>
      <c r="C26" s="50"/>
      <c r="D26" s="1959" t="s">
        <v>5</v>
      </c>
      <c r="E26" s="2071"/>
      <c r="F26" s="2071"/>
      <c r="G26" s="2072"/>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t="s">
        <v>262</v>
      </c>
      <c r="I27" s="28"/>
      <c r="J27" s="28"/>
      <c r="K27" s="28"/>
      <c r="L27" s="28"/>
      <c r="M27" s="28"/>
      <c r="N27" s="28"/>
      <c r="O27" s="28"/>
      <c r="P27" s="28"/>
      <c r="Q27" s="51"/>
    </row>
    <row r="28" spans="1:25" ht="15" customHeight="1">
      <c r="A28" s="1874"/>
      <c r="B28" s="1855"/>
      <c r="C28" s="57">
        <v>2014</v>
      </c>
      <c r="D28" s="33"/>
      <c r="E28" s="31"/>
      <c r="F28" s="31"/>
      <c r="G28" s="58">
        <f>SUM(D28:F28)</f>
        <v>0</v>
      </c>
      <c r="H28" s="35"/>
      <c r="I28" s="35"/>
      <c r="J28" s="35"/>
      <c r="K28" s="35"/>
      <c r="L28" s="35"/>
      <c r="M28" s="35"/>
      <c r="N28" s="35"/>
      <c r="O28" s="35"/>
      <c r="P28" s="35"/>
      <c r="Q28" s="7"/>
    </row>
    <row r="29" spans="1:25">
      <c r="A29" s="1854"/>
      <c r="B29" s="1855"/>
      <c r="C29" s="59">
        <v>2015</v>
      </c>
      <c r="D29" s="39"/>
      <c r="E29" s="38"/>
      <c r="F29" s="38"/>
      <c r="G29" s="58">
        <f t="shared" ref="G29:G35" si="2">SUM(D29:F29)</f>
        <v>0</v>
      </c>
      <c r="H29" s="35"/>
      <c r="I29" s="35"/>
      <c r="J29" s="35"/>
      <c r="K29" s="35"/>
      <c r="L29" s="35"/>
      <c r="M29" s="35"/>
      <c r="N29" s="35"/>
      <c r="O29" s="35"/>
      <c r="P29" s="35"/>
      <c r="Q29" s="7"/>
    </row>
    <row r="30" spans="1:25">
      <c r="A30" s="1854"/>
      <c r="B30" s="1855"/>
      <c r="C30" s="59">
        <v>2016</v>
      </c>
      <c r="D30" s="39">
        <v>248</v>
      </c>
      <c r="E30" s="38"/>
      <c r="F30" s="38"/>
      <c r="G30" s="58">
        <f t="shared" si="2"/>
        <v>248</v>
      </c>
      <c r="H30" s="35"/>
      <c r="I30" s="35"/>
      <c r="J30" s="35"/>
      <c r="K30" s="35"/>
      <c r="L30" s="35"/>
      <c r="M30" s="35"/>
      <c r="N30" s="35"/>
      <c r="O30" s="35"/>
      <c r="P30" s="35"/>
      <c r="Q30" s="7"/>
    </row>
    <row r="31" spans="1:25">
      <c r="A31" s="1854"/>
      <c r="B31" s="1855"/>
      <c r="C31" s="59">
        <v>2017</v>
      </c>
      <c r="D31" s="39"/>
      <c r="E31" s="38"/>
      <c r="F31" s="38"/>
      <c r="G31" s="58">
        <f t="shared" si="2"/>
        <v>0</v>
      </c>
      <c r="H31" s="35"/>
      <c r="I31" s="35"/>
      <c r="J31" s="35"/>
      <c r="K31" s="35"/>
      <c r="L31" s="35"/>
      <c r="M31" s="35"/>
      <c r="N31" s="35"/>
      <c r="O31" s="35"/>
      <c r="P31" s="35"/>
      <c r="Q31" s="7"/>
    </row>
    <row r="32" spans="1:25">
      <c r="A32" s="1854"/>
      <c r="B32" s="1855"/>
      <c r="C32" s="59">
        <v>2018</v>
      </c>
      <c r="D32" s="39"/>
      <c r="E32" s="38"/>
      <c r="F32" s="38"/>
      <c r="G32" s="58">
        <f>SUM(D32:F32)</f>
        <v>0</v>
      </c>
      <c r="H32" s="35"/>
      <c r="I32" s="35"/>
      <c r="J32" s="35"/>
      <c r="K32" s="35"/>
      <c r="L32" s="35"/>
      <c r="M32" s="35"/>
      <c r="N32" s="35"/>
      <c r="O32" s="35"/>
      <c r="P32" s="35"/>
      <c r="Q32" s="7"/>
    </row>
    <row r="33" spans="1:17">
      <c r="A33" s="1854"/>
      <c r="B33" s="1855"/>
      <c r="C33" s="60">
        <v>2019</v>
      </c>
      <c r="D33" s="39"/>
      <c r="E33" s="38"/>
      <c r="F33" s="38"/>
      <c r="G33" s="58">
        <f t="shared" si="2"/>
        <v>0</v>
      </c>
      <c r="H33" s="35"/>
      <c r="I33" s="35"/>
      <c r="J33" s="35"/>
      <c r="K33" s="35"/>
      <c r="L33" s="35"/>
      <c r="M33" s="35"/>
      <c r="N33" s="35"/>
      <c r="O33" s="35"/>
      <c r="P33" s="35"/>
      <c r="Q33" s="7"/>
    </row>
    <row r="34" spans="1:17">
      <c r="A34" s="1854"/>
      <c r="B34" s="1855"/>
      <c r="C34" s="59">
        <v>2020</v>
      </c>
      <c r="D34" s="39"/>
      <c r="E34" s="38"/>
      <c r="F34" s="38"/>
      <c r="G34" s="58">
        <f t="shared" si="2"/>
        <v>0</v>
      </c>
      <c r="H34" s="35"/>
      <c r="I34" s="35"/>
      <c r="J34" s="35"/>
      <c r="K34" s="35"/>
      <c r="L34" s="35"/>
      <c r="M34" s="35"/>
      <c r="N34" s="35"/>
      <c r="O34" s="35"/>
      <c r="P34" s="35"/>
      <c r="Q34" s="7"/>
    </row>
    <row r="35" spans="1:17" ht="20.25" customHeight="1" thickBot="1">
      <c r="A35" s="1856"/>
      <c r="B35" s="1857"/>
      <c r="C35" s="61" t="s">
        <v>13</v>
      </c>
      <c r="D35" s="46">
        <f>SUM(D28:D34)</f>
        <v>248</v>
      </c>
      <c r="E35" s="44">
        <f>SUM(E28:E34)</f>
        <v>0</v>
      </c>
      <c r="F35" s="44">
        <f>SUM(F28:F34)</f>
        <v>0</v>
      </c>
      <c r="G35" s="48">
        <f t="shared" si="2"/>
        <v>248</v>
      </c>
      <c r="H35" s="35"/>
      <c r="I35" s="35"/>
      <c r="J35" s="35"/>
      <c r="K35" s="35"/>
      <c r="L35" s="35"/>
      <c r="M35" s="35"/>
      <c r="N35" s="35"/>
      <c r="O35" s="35"/>
      <c r="P35" s="35"/>
      <c r="Q35" s="7"/>
    </row>
    <row r="36" spans="1:17">
      <c r="A36" s="1535"/>
      <c r="B36" s="1535"/>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535" t="s">
        <v>26</v>
      </c>
      <c r="B39" s="536" t="s">
        <v>171</v>
      </c>
      <c r="C39" s="68" t="s">
        <v>9</v>
      </c>
      <c r="D39" s="69" t="s">
        <v>28</v>
      </c>
      <c r="E39" s="70" t="s">
        <v>29</v>
      </c>
      <c r="F39" s="71"/>
      <c r="G39" s="28"/>
      <c r="H39" s="28"/>
    </row>
    <row r="40" spans="1:17">
      <c r="A40" s="1874" t="s">
        <v>510</v>
      </c>
      <c r="B40" s="1855"/>
      <c r="C40" s="72">
        <v>2014</v>
      </c>
      <c r="D40" s="30"/>
      <c r="E40" s="29"/>
      <c r="F40" s="7"/>
      <c r="G40" s="35"/>
      <c r="H40" s="35"/>
    </row>
    <row r="41" spans="1:17">
      <c r="A41" s="1854"/>
      <c r="B41" s="1855"/>
      <c r="C41" s="73">
        <v>2015</v>
      </c>
      <c r="D41" s="37">
        <v>944</v>
      </c>
      <c r="E41" s="36">
        <v>720</v>
      </c>
      <c r="F41" s="7"/>
      <c r="G41" s="35"/>
      <c r="H41" s="35"/>
    </row>
    <row r="42" spans="1:17">
      <c r="A42" s="1854"/>
      <c r="B42" s="1855"/>
      <c r="C42" s="73">
        <v>2016</v>
      </c>
      <c r="D42" s="37">
        <v>4251</v>
      </c>
      <c r="E42" s="1540"/>
      <c r="F42" s="7"/>
      <c r="G42" s="35"/>
      <c r="H42" s="35"/>
    </row>
    <row r="43" spans="1:17">
      <c r="A43" s="1854"/>
      <c r="B43" s="1855"/>
      <c r="C43" s="73">
        <v>2017</v>
      </c>
      <c r="D43" s="37">
        <v>3186</v>
      </c>
      <c r="E43" s="1540"/>
      <c r="F43" s="7"/>
      <c r="G43" s="35"/>
      <c r="H43" s="35"/>
    </row>
    <row r="44" spans="1:17">
      <c r="A44" s="1854"/>
      <c r="B44" s="1855"/>
      <c r="C44" s="73">
        <v>2018</v>
      </c>
      <c r="D44" s="37"/>
      <c r="E44" s="36"/>
      <c r="F44" s="7"/>
      <c r="G44" s="35"/>
      <c r="H44" s="35"/>
    </row>
    <row r="45" spans="1:17">
      <c r="A45" s="1854"/>
      <c r="B45" s="1855"/>
      <c r="C45" s="73">
        <v>2019</v>
      </c>
      <c r="D45" s="37"/>
      <c r="E45" s="36"/>
      <c r="F45" s="7"/>
      <c r="G45" s="35"/>
      <c r="H45" s="35"/>
    </row>
    <row r="46" spans="1:17">
      <c r="A46" s="1854"/>
      <c r="B46" s="1855"/>
      <c r="C46" s="73">
        <v>2020</v>
      </c>
      <c r="D46" s="37"/>
      <c r="E46" s="36"/>
      <c r="F46" s="7"/>
      <c r="G46" s="35"/>
      <c r="H46" s="35"/>
    </row>
    <row r="47" spans="1:17" ht="15.75" thickBot="1">
      <c r="A47" s="1856"/>
      <c r="B47" s="1857"/>
      <c r="C47" s="42" t="s">
        <v>13</v>
      </c>
      <c r="D47" s="43">
        <f>SUM(D40:D46)</f>
        <v>8381</v>
      </c>
      <c r="E47" s="455">
        <f>SUM(E40:E46)</f>
        <v>720</v>
      </c>
      <c r="F47" s="78"/>
      <c r="G47" s="35"/>
      <c r="H47" s="35"/>
    </row>
    <row r="48" spans="1:17" s="35" customFormat="1" ht="15.75" thickBot="1">
      <c r="A48" s="539"/>
      <c r="B48" s="80"/>
      <c r="C48" s="81"/>
    </row>
    <row r="49" spans="1:15" ht="83.25" customHeight="1">
      <c r="A49" s="82" t="s">
        <v>32</v>
      </c>
      <c r="B49" s="536" t="s">
        <v>171</v>
      </c>
      <c r="C49" s="84" t="s">
        <v>9</v>
      </c>
      <c r="D49" s="69" t="s">
        <v>34</v>
      </c>
      <c r="E49" s="85" t="s">
        <v>35</v>
      </c>
      <c r="F49" s="85" t="s">
        <v>36</v>
      </c>
      <c r="G49" s="85" t="s">
        <v>37</v>
      </c>
      <c r="H49" s="85" t="s">
        <v>38</v>
      </c>
      <c r="I49" s="85" t="s">
        <v>39</v>
      </c>
      <c r="J49" s="85" t="s">
        <v>40</v>
      </c>
      <c r="K49" s="86" t="s">
        <v>41</v>
      </c>
    </row>
    <row r="50" spans="1:15" ht="17.25" customHeight="1">
      <c r="A50" s="1872" t="s">
        <v>511</v>
      </c>
      <c r="B50" s="1879"/>
      <c r="C50" s="87" t="s">
        <v>43</v>
      </c>
      <c r="D50" s="30"/>
      <c r="E50" s="31"/>
      <c r="F50" s="31"/>
      <c r="G50" s="31"/>
      <c r="H50" s="31"/>
      <c r="I50" s="31"/>
      <c r="J50" s="31"/>
      <c r="K50" s="34"/>
    </row>
    <row r="51" spans="1:15" ht="15" customHeight="1">
      <c r="A51" s="1874"/>
      <c r="B51" s="1881"/>
      <c r="C51" s="73">
        <v>2014</v>
      </c>
      <c r="D51" s="37"/>
      <c r="E51" s="38"/>
      <c r="F51" s="38"/>
      <c r="G51" s="38"/>
      <c r="H51" s="38"/>
      <c r="I51" s="38"/>
      <c r="J51" s="38"/>
      <c r="K51" s="88"/>
    </row>
    <row r="52" spans="1:15">
      <c r="A52" s="1874"/>
      <c r="B52" s="1881"/>
      <c r="C52" s="73">
        <v>2015</v>
      </c>
      <c r="D52" s="37">
        <v>1</v>
      </c>
      <c r="E52" s="38"/>
      <c r="F52" s="38"/>
      <c r="G52" s="38">
        <v>21</v>
      </c>
      <c r="H52" s="38"/>
      <c r="I52" s="38"/>
      <c r="J52" s="38">
        <v>2</v>
      </c>
      <c r="K52" s="88"/>
    </row>
    <row r="53" spans="1:15">
      <c r="A53" s="1874"/>
      <c r="B53" s="1881"/>
      <c r="C53" s="73">
        <v>2016</v>
      </c>
      <c r="D53" s="37">
        <v>1</v>
      </c>
      <c r="E53" s="38"/>
      <c r="F53" s="38"/>
      <c r="G53" s="38">
        <v>2354</v>
      </c>
      <c r="H53" s="38"/>
      <c r="I53" s="38"/>
      <c r="J53" s="38">
        <v>24</v>
      </c>
      <c r="K53" s="88"/>
    </row>
    <row r="54" spans="1:15">
      <c r="A54" s="1874"/>
      <c r="B54" s="1881"/>
      <c r="C54" s="73">
        <v>2017</v>
      </c>
      <c r="D54" s="37">
        <v>1</v>
      </c>
      <c r="E54" s="38"/>
      <c r="F54" s="38"/>
      <c r="G54" s="38">
        <v>18</v>
      </c>
      <c r="H54" s="38"/>
      <c r="I54" s="38"/>
      <c r="J54" s="38">
        <v>2</v>
      </c>
      <c r="K54" s="88"/>
    </row>
    <row r="55" spans="1:15">
      <c r="A55" s="1874"/>
      <c r="B55" s="1881"/>
      <c r="C55" s="73">
        <v>2018</v>
      </c>
      <c r="D55" s="37"/>
      <c r="E55" s="38"/>
      <c r="F55" s="38"/>
      <c r="G55" s="38"/>
      <c r="H55" s="38"/>
      <c r="I55" s="38"/>
      <c r="J55" s="38"/>
      <c r="K55" s="88"/>
    </row>
    <row r="56" spans="1:15">
      <c r="A56" s="1874"/>
      <c r="B56" s="1881"/>
      <c r="C56" s="73">
        <v>2019</v>
      </c>
      <c r="D56" s="37"/>
      <c r="E56" s="38"/>
      <c r="F56" s="38"/>
      <c r="G56" s="38"/>
      <c r="H56" s="38"/>
      <c r="I56" s="38"/>
      <c r="J56" s="38"/>
      <c r="K56" s="88"/>
    </row>
    <row r="57" spans="1:15">
      <c r="A57" s="1874"/>
      <c r="B57" s="1881"/>
      <c r="C57" s="73">
        <v>2020</v>
      </c>
      <c r="D57" s="37"/>
      <c r="E57" s="38"/>
      <c r="F57" s="38"/>
      <c r="G57" s="38"/>
      <c r="H57" s="38"/>
      <c r="I57" s="38"/>
      <c r="J57" s="38"/>
      <c r="K57" s="93"/>
    </row>
    <row r="58" spans="1:15" ht="20.25" customHeight="1" thickBot="1">
      <c r="A58" s="1876"/>
      <c r="B58" s="1883"/>
      <c r="C58" s="42" t="s">
        <v>13</v>
      </c>
      <c r="D58" s="43">
        <f>SUM(D51:D57)</f>
        <v>3</v>
      </c>
      <c r="E58" s="44">
        <f>SUM(E51:E57)</f>
        <v>0</v>
      </c>
      <c r="F58" s="44">
        <f>SUM(F51:F57)</f>
        <v>0</v>
      </c>
      <c r="G58" s="44">
        <f>SUM(G51:G57)</f>
        <v>2393</v>
      </c>
      <c r="H58" s="44">
        <f>SUM(H51:H57)</f>
        <v>0</v>
      </c>
      <c r="I58" s="44">
        <f t="shared" ref="I58" si="3">SUM(I51:I57)</f>
        <v>0</v>
      </c>
      <c r="J58" s="44">
        <f>SUM(J51:J57)</f>
        <v>28</v>
      </c>
      <c r="K58" s="48">
        <f>SUM(K50:K56)</f>
        <v>0</v>
      </c>
    </row>
    <row r="59" spans="1:15" ht="15.75" thickBot="1"/>
    <row r="60" spans="1:15" ht="21" customHeight="1">
      <c r="A60" s="2073" t="s">
        <v>44</v>
      </c>
      <c r="B60" s="540"/>
      <c r="C60" s="2074" t="s">
        <v>9</v>
      </c>
      <c r="D60" s="2417" t="s">
        <v>45</v>
      </c>
      <c r="E60" s="96" t="s">
        <v>6</v>
      </c>
      <c r="F60" s="541"/>
      <c r="G60" s="541"/>
      <c r="H60" s="541"/>
      <c r="I60" s="541"/>
      <c r="J60" s="541"/>
      <c r="K60" s="541"/>
      <c r="L60" s="542"/>
    </row>
    <row r="61" spans="1:15" ht="115.5" customHeight="1">
      <c r="A61" s="1970"/>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1898" t="s">
        <v>512</v>
      </c>
      <c r="B62" s="1899"/>
      <c r="C62" s="106">
        <v>2014</v>
      </c>
      <c r="D62" s="107"/>
      <c r="E62" s="108"/>
      <c r="F62" s="109"/>
      <c r="G62" s="109"/>
      <c r="H62" s="109"/>
      <c r="I62" s="109"/>
      <c r="J62" s="109"/>
      <c r="K62" s="109"/>
      <c r="L62" s="34"/>
      <c r="M62" s="7"/>
      <c r="N62" s="7"/>
      <c r="O62" s="7"/>
    </row>
    <row r="63" spans="1:15">
      <c r="A63" s="1891"/>
      <c r="B63" s="1899"/>
      <c r="C63" s="110">
        <v>2015</v>
      </c>
      <c r="D63" s="111">
        <v>4</v>
      </c>
      <c r="E63" s="112">
        <v>4</v>
      </c>
      <c r="F63" s="38"/>
      <c r="G63" s="38"/>
      <c r="H63" s="38"/>
      <c r="I63" s="38"/>
      <c r="J63" s="38"/>
      <c r="K63" s="38"/>
      <c r="L63" s="88"/>
      <c r="M63" s="7"/>
      <c r="N63" s="7"/>
      <c r="O63" s="7"/>
    </row>
    <row r="64" spans="1:15">
      <c r="A64" s="1891"/>
      <c r="B64" s="1899"/>
      <c r="C64" s="1510">
        <v>2016</v>
      </c>
      <c r="D64" s="456">
        <v>5</v>
      </c>
      <c r="E64" s="457">
        <v>3</v>
      </c>
      <c r="F64" s="339">
        <v>2</v>
      </c>
      <c r="G64" s="339"/>
      <c r="H64" s="339"/>
      <c r="I64" s="339"/>
      <c r="J64" s="339"/>
      <c r="K64" s="339"/>
      <c r="L64" s="340"/>
      <c r="M64" s="7"/>
      <c r="N64" s="7"/>
      <c r="O64" s="7"/>
    </row>
    <row r="65" spans="1:20">
      <c r="A65" s="1891"/>
      <c r="B65" s="1899"/>
      <c r="C65" s="110">
        <v>2017</v>
      </c>
      <c r="D65" s="111">
        <v>6</v>
      </c>
      <c r="E65" s="112">
        <v>1</v>
      </c>
      <c r="F65" s="38">
        <v>5</v>
      </c>
      <c r="G65" s="38"/>
      <c r="H65" s="38"/>
      <c r="I65" s="38"/>
      <c r="J65" s="38"/>
      <c r="K65" s="38"/>
      <c r="L65" s="88"/>
      <c r="M65" s="7"/>
      <c r="N65" s="7"/>
      <c r="O65" s="7"/>
    </row>
    <row r="66" spans="1:20">
      <c r="A66" s="1891"/>
      <c r="B66" s="1899"/>
      <c r="C66" s="110">
        <v>2018</v>
      </c>
      <c r="D66" s="111"/>
      <c r="E66" s="112"/>
      <c r="F66" s="38"/>
      <c r="G66" s="38"/>
      <c r="H66" s="38"/>
      <c r="I66" s="38"/>
      <c r="J66" s="38"/>
      <c r="K66" s="38"/>
      <c r="L66" s="88"/>
      <c r="M66" s="7"/>
      <c r="N66" s="7"/>
      <c r="O66" s="7"/>
    </row>
    <row r="67" spans="1:20" ht="17.25" customHeight="1">
      <c r="A67" s="1891"/>
      <c r="B67" s="1899"/>
      <c r="C67" s="110">
        <v>2019</v>
      </c>
      <c r="D67" s="111"/>
      <c r="E67" s="112"/>
      <c r="F67" s="38"/>
      <c r="G67" s="38"/>
      <c r="H67" s="38"/>
      <c r="I67" s="38"/>
      <c r="J67" s="38"/>
      <c r="K67" s="38"/>
      <c r="L67" s="88"/>
      <c r="M67" s="7"/>
      <c r="N67" s="7"/>
      <c r="O67" s="7"/>
    </row>
    <row r="68" spans="1:20" ht="16.5" customHeight="1">
      <c r="A68" s="1891"/>
      <c r="B68" s="1899"/>
      <c r="C68" s="110">
        <v>2020</v>
      </c>
      <c r="D68" s="111"/>
      <c r="E68" s="112"/>
      <c r="F68" s="38"/>
      <c r="G68" s="38"/>
      <c r="H68" s="38"/>
      <c r="I68" s="38"/>
      <c r="J68" s="38"/>
      <c r="K68" s="38"/>
      <c r="L68" s="88"/>
      <c r="M68" s="78"/>
      <c r="N68" s="78"/>
      <c r="O68" s="78"/>
    </row>
    <row r="69" spans="1:20" ht="18" customHeight="1" thickBot="1">
      <c r="A69" s="1980"/>
      <c r="B69" s="1900"/>
      <c r="C69" s="113" t="s">
        <v>13</v>
      </c>
      <c r="D69" s="114">
        <f>SUM(D62:D68)</f>
        <v>15</v>
      </c>
      <c r="E69" s="115">
        <f>SUM(E62:E68)</f>
        <v>8</v>
      </c>
      <c r="F69" s="116">
        <f t="shared" ref="F69:I69" si="4">SUM(F62:F68)</f>
        <v>7</v>
      </c>
      <c r="G69" s="116">
        <f t="shared" si="4"/>
        <v>0</v>
      </c>
      <c r="H69" s="116">
        <f t="shared" si="4"/>
        <v>0</v>
      </c>
      <c r="I69" s="116">
        <f t="shared" si="4"/>
        <v>0</v>
      </c>
      <c r="J69" s="116"/>
      <c r="K69" s="116">
        <f>SUM(K62:K68)</f>
        <v>0</v>
      </c>
      <c r="L69" s="117">
        <f>SUM(L62:L68)</f>
        <v>0</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535" t="s">
        <v>47</v>
      </c>
      <c r="B71" s="536"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1874"/>
      <c r="B72" s="1899"/>
      <c r="C72" s="72">
        <v>2014</v>
      </c>
      <c r="D72" s="131"/>
      <c r="E72" s="131"/>
      <c r="F72" s="131"/>
      <c r="G72" s="132">
        <f>SUM(D72:F72)</f>
        <v>0</v>
      </c>
      <c r="H72" s="30"/>
      <c r="I72" s="133"/>
      <c r="J72" s="109"/>
      <c r="K72" s="109"/>
      <c r="L72" s="109"/>
      <c r="M72" s="109"/>
      <c r="N72" s="109"/>
      <c r="O72" s="134"/>
    </row>
    <row r="73" spans="1:20">
      <c r="A73" s="1854"/>
      <c r="B73" s="1899"/>
      <c r="C73" s="73">
        <v>2015</v>
      </c>
      <c r="D73" s="135"/>
      <c r="E73" s="135"/>
      <c r="F73" s="135"/>
      <c r="G73" s="132">
        <f t="shared" ref="G73:G78" si="5">SUM(D73:F73)</f>
        <v>0</v>
      </c>
      <c r="H73" s="37"/>
      <c r="I73" s="37"/>
      <c r="J73" s="38"/>
      <c r="K73" s="38"/>
      <c r="L73" s="38"/>
      <c r="M73" s="38"/>
      <c r="N73" s="38"/>
      <c r="O73" s="88"/>
    </row>
    <row r="74" spans="1:20">
      <c r="A74" s="1854"/>
      <c r="B74" s="1899"/>
      <c r="C74" s="73">
        <v>2016</v>
      </c>
      <c r="D74" s="135"/>
      <c r="E74" s="135"/>
      <c r="F74" s="135"/>
      <c r="G74" s="132">
        <f t="shared" si="5"/>
        <v>0</v>
      </c>
      <c r="H74" s="37"/>
      <c r="I74" s="37"/>
      <c r="J74" s="38"/>
      <c r="K74" s="38"/>
      <c r="L74" s="38"/>
      <c r="M74" s="38"/>
      <c r="N74" s="38"/>
      <c r="O74" s="88"/>
    </row>
    <row r="75" spans="1:20">
      <c r="A75" s="1854"/>
      <c r="B75" s="1899"/>
      <c r="C75" s="73">
        <v>2017</v>
      </c>
      <c r="D75" s="135"/>
      <c r="E75" s="135"/>
      <c r="F75" s="135"/>
      <c r="G75" s="132">
        <f t="shared" si="5"/>
        <v>0</v>
      </c>
      <c r="H75" s="37"/>
      <c r="I75" s="37"/>
      <c r="J75" s="38"/>
      <c r="K75" s="38"/>
      <c r="L75" s="38"/>
      <c r="M75" s="38"/>
      <c r="N75" s="38"/>
      <c r="O75" s="88"/>
    </row>
    <row r="76" spans="1:20">
      <c r="A76" s="1854"/>
      <c r="B76" s="1899"/>
      <c r="C76" s="73">
        <v>2018</v>
      </c>
      <c r="D76" s="135"/>
      <c r="E76" s="135"/>
      <c r="F76" s="135"/>
      <c r="G76" s="132">
        <f t="shared" si="5"/>
        <v>0</v>
      </c>
      <c r="H76" s="37"/>
      <c r="I76" s="37"/>
      <c r="J76" s="38"/>
      <c r="K76" s="38"/>
      <c r="L76" s="38"/>
      <c r="M76" s="38"/>
      <c r="N76" s="38"/>
      <c r="O76" s="88"/>
    </row>
    <row r="77" spans="1:20" ht="15.75" customHeight="1">
      <c r="A77" s="1854"/>
      <c r="B77" s="1899"/>
      <c r="C77" s="73">
        <v>2019</v>
      </c>
      <c r="D77" s="135"/>
      <c r="E77" s="135"/>
      <c r="F77" s="135"/>
      <c r="G77" s="132">
        <f t="shared" si="5"/>
        <v>0</v>
      </c>
      <c r="H77" s="37"/>
      <c r="I77" s="37"/>
      <c r="J77" s="38"/>
      <c r="K77" s="38"/>
      <c r="L77" s="38"/>
      <c r="M77" s="38"/>
      <c r="N77" s="38"/>
      <c r="O77" s="88"/>
    </row>
    <row r="78" spans="1:20" ht="17.25" customHeight="1">
      <c r="A78" s="1854"/>
      <c r="B78" s="1899"/>
      <c r="C78" s="73">
        <v>2020</v>
      </c>
      <c r="D78" s="135"/>
      <c r="E78" s="135"/>
      <c r="F78" s="135"/>
      <c r="G78" s="132">
        <f t="shared" si="5"/>
        <v>0</v>
      </c>
      <c r="H78" s="37"/>
      <c r="I78" s="37"/>
      <c r="J78" s="38"/>
      <c r="K78" s="38"/>
      <c r="L78" s="38"/>
      <c r="M78" s="38"/>
      <c r="N78" s="38"/>
      <c r="O78" s="88"/>
    </row>
    <row r="79" spans="1:20" ht="20.25" customHeight="1" thickBot="1">
      <c r="A79" s="1980"/>
      <c r="B79" s="1900"/>
      <c r="C79" s="136" t="s">
        <v>13</v>
      </c>
      <c r="D79" s="114">
        <f>SUM(D72:D78)</f>
        <v>0</v>
      </c>
      <c r="E79" s="114">
        <f>SUM(E72:E78)</f>
        <v>0</v>
      </c>
      <c r="F79" s="114">
        <f>SUM(F72:F78)</f>
        <v>0</v>
      </c>
      <c r="G79" s="137">
        <f>SUM(G72:G78)</f>
        <v>0</v>
      </c>
      <c r="H79" s="138">
        <v>0</v>
      </c>
      <c r="I79" s="139">
        <f t="shared" ref="I79:O79" si="6">SUM(I72:I78)</f>
        <v>0</v>
      </c>
      <c r="J79" s="116">
        <f t="shared" si="6"/>
        <v>0</v>
      </c>
      <c r="K79" s="116">
        <f t="shared" si="6"/>
        <v>0</v>
      </c>
      <c r="L79" s="116">
        <f t="shared" si="6"/>
        <v>0</v>
      </c>
      <c r="M79" s="116">
        <f t="shared" si="6"/>
        <v>0</v>
      </c>
      <c r="N79" s="116">
        <f t="shared" si="6"/>
        <v>0</v>
      </c>
      <c r="O79" s="117">
        <f t="shared" si="6"/>
        <v>0</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547" t="s">
        <v>56</v>
      </c>
      <c r="B84" s="548" t="s">
        <v>178</v>
      </c>
      <c r="C84" s="149" t="s">
        <v>9</v>
      </c>
      <c r="D84" s="150" t="s">
        <v>58</v>
      </c>
      <c r="E84" s="151" t="s">
        <v>59</v>
      </c>
      <c r="F84" s="152" t="s">
        <v>60</v>
      </c>
      <c r="G84" s="152" t="s">
        <v>61</v>
      </c>
      <c r="H84" s="152" t="s">
        <v>62</v>
      </c>
      <c r="I84" s="152" t="s">
        <v>63</v>
      </c>
      <c r="J84" s="152" t="s">
        <v>64</v>
      </c>
      <c r="K84" s="153" t="s">
        <v>65</v>
      </c>
    </row>
    <row r="85" spans="1:16" ht="15" customHeight="1">
      <c r="A85" s="1938"/>
      <c r="B85" s="1899"/>
      <c r="C85" s="72">
        <v>2014</v>
      </c>
      <c r="D85" s="154"/>
      <c r="E85" s="155"/>
      <c r="F85" s="31"/>
      <c r="G85" s="31"/>
      <c r="H85" s="31"/>
      <c r="I85" s="31"/>
      <c r="J85" s="31"/>
      <c r="K85" s="34"/>
    </row>
    <row r="86" spans="1:16">
      <c r="A86" s="1939"/>
      <c r="B86" s="1899"/>
      <c r="C86" s="73">
        <v>2015</v>
      </c>
      <c r="D86" s="156"/>
      <c r="E86" s="112"/>
      <c r="F86" s="38"/>
      <c r="G86" s="38"/>
      <c r="H86" s="38"/>
      <c r="I86" s="38"/>
      <c r="J86" s="38"/>
      <c r="K86" s="88"/>
    </row>
    <row r="87" spans="1:16">
      <c r="A87" s="1939"/>
      <c r="B87" s="1899"/>
      <c r="C87" s="73">
        <v>2016</v>
      </c>
      <c r="D87" s="156"/>
      <c r="E87" s="112"/>
      <c r="F87" s="38"/>
      <c r="G87" s="38"/>
      <c r="H87" s="38"/>
      <c r="I87" s="38"/>
      <c r="J87" s="38"/>
      <c r="K87" s="88"/>
    </row>
    <row r="88" spans="1:16">
      <c r="A88" s="1939"/>
      <c r="B88" s="1899"/>
      <c r="C88" s="73">
        <v>2017</v>
      </c>
      <c r="D88" s="156"/>
      <c r="E88" s="112"/>
      <c r="F88" s="38"/>
      <c r="G88" s="38"/>
      <c r="H88" s="38"/>
      <c r="I88" s="38"/>
      <c r="J88" s="38"/>
      <c r="K88" s="88"/>
    </row>
    <row r="89" spans="1:16">
      <c r="A89" s="1939"/>
      <c r="B89" s="1899"/>
      <c r="C89" s="73">
        <v>2018</v>
      </c>
      <c r="D89" s="156"/>
      <c r="E89" s="112"/>
      <c r="F89" s="38"/>
      <c r="G89" s="38"/>
      <c r="H89" s="38"/>
      <c r="I89" s="38"/>
      <c r="J89" s="38"/>
      <c r="K89" s="88"/>
    </row>
    <row r="90" spans="1:16">
      <c r="A90" s="1939"/>
      <c r="B90" s="1899"/>
      <c r="C90" s="73">
        <v>2019</v>
      </c>
      <c r="D90" s="156"/>
      <c r="E90" s="112"/>
      <c r="F90" s="38"/>
      <c r="G90" s="38"/>
      <c r="H90" s="38"/>
      <c r="I90" s="38"/>
      <c r="J90" s="38"/>
      <c r="K90" s="88"/>
    </row>
    <row r="91" spans="1:16">
      <c r="A91" s="1939"/>
      <c r="B91" s="1899"/>
      <c r="C91" s="73">
        <v>2020</v>
      </c>
      <c r="D91" s="156"/>
      <c r="E91" s="112"/>
      <c r="F91" s="38"/>
      <c r="G91" s="38"/>
      <c r="H91" s="38"/>
      <c r="I91" s="38"/>
      <c r="J91" s="38"/>
      <c r="K91" s="88"/>
    </row>
    <row r="92" spans="1:16" ht="18" customHeight="1" thickBot="1">
      <c r="A92" s="1940"/>
      <c r="B92" s="1900"/>
      <c r="C92" s="136" t="s">
        <v>13</v>
      </c>
      <c r="D92" s="157">
        <f t="shared" ref="D92:I92" si="7">SUM(D85:D91)</f>
        <v>0</v>
      </c>
      <c r="E92" s="115">
        <f t="shared" si="7"/>
        <v>0</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051" t="s">
        <v>68</v>
      </c>
      <c r="B96" s="2052" t="s">
        <v>179</v>
      </c>
      <c r="C96" s="2058" t="s">
        <v>9</v>
      </c>
      <c r="D96" s="1916" t="s">
        <v>70</v>
      </c>
      <c r="E96" s="1917"/>
      <c r="F96" s="162" t="s">
        <v>71</v>
      </c>
      <c r="G96" s="549"/>
      <c r="H96" s="549"/>
      <c r="I96" s="549"/>
      <c r="J96" s="549"/>
      <c r="K96" s="549"/>
      <c r="L96" s="549"/>
      <c r="M96" s="550"/>
      <c r="N96" s="165"/>
      <c r="O96" s="165"/>
      <c r="P96" s="165"/>
    </row>
    <row r="97" spans="1:16" ht="100.5" customHeight="1">
      <c r="A97" s="1910"/>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1898"/>
      <c r="B98" s="1899"/>
      <c r="C98" s="106">
        <v>2014</v>
      </c>
      <c r="D98" s="30"/>
      <c r="E98" s="31"/>
      <c r="F98" s="174"/>
      <c r="G98" s="175"/>
      <c r="H98" s="175"/>
      <c r="I98" s="175"/>
      <c r="J98" s="175"/>
      <c r="K98" s="175"/>
      <c r="L98" s="175"/>
      <c r="M98" s="176"/>
      <c r="N98" s="165"/>
      <c r="O98" s="165"/>
      <c r="P98" s="165"/>
    </row>
    <row r="99" spans="1:16" ht="16.5" customHeight="1">
      <c r="A99" s="1891"/>
      <c r="B99" s="1899"/>
      <c r="C99" s="110">
        <v>2015</v>
      </c>
      <c r="D99" s="37"/>
      <c r="E99" s="38"/>
      <c r="F99" s="177"/>
      <c r="G99" s="178"/>
      <c r="H99" s="178"/>
      <c r="I99" s="178"/>
      <c r="J99" s="178"/>
      <c r="K99" s="178"/>
      <c r="L99" s="178"/>
      <c r="M99" s="179"/>
      <c r="N99" s="165"/>
      <c r="O99" s="165"/>
      <c r="P99" s="165"/>
    </row>
    <row r="100" spans="1:16" ht="16.5" customHeight="1">
      <c r="A100" s="1891"/>
      <c r="B100" s="1899"/>
      <c r="C100" s="110">
        <v>2016</v>
      </c>
      <c r="D100" s="37"/>
      <c r="E100" s="38"/>
      <c r="F100" s="177"/>
      <c r="G100" s="178"/>
      <c r="H100" s="178"/>
      <c r="I100" s="178"/>
      <c r="J100" s="178"/>
      <c r="K100" s="178"/>
      <c r="L100" s="178"/>
      <c r="M100" s="179"/>
      <c r="N100" s="165"/>
      <c r="O100" s="165"/>
      <c r="P100" s="165"/>
    </row>
    <row r="101" spans="1:16" ht="16.5" customHeight="1">
      <c r="A101" s="1891"/>
      <c r="B101" s="1899"/>
      <c r="C101" s="110">
        <v>2017</v>
      </c>
      <c r="D101" s="37"/>
      <c r="E101" s="38"/>
      <c r="F101" s="177"/>
      <c r="G101" s="178"/>
      <c r="H101" s="178"/>
      <c r="I101" s="178"/>
      <c r="J101" s="178"/>
      <c r="K101" s="178"/>
      <c r="L101" s="178"/>
      <c r="M101" s="179"/>
      <c r="N101" s="165"/>
      <c r="O101" s="165"/>
      <c r="P101" s="165"/>
    </row>
    <row r="102" spans="1:16" ht="15.75" customHeight="1">
      <c r="A102" s="1891"/>
      <c r="B102" s="1899"/>
      <c r="C102" s="110">
        <v>2018</v>
      </c>
      <c r="D102" s="37"/>
      <c r="E102" s="38"/>
      <c r="F102" s="177"/>
      <c r="G102" s="178"/>
      <c r="H102" s="178"/>
      <c r="I102" s="178"/>
      <c r="J102" s="178"/>
      <c r="K102" s="178"/>
      <c r="L102" s="178"/>
      <c r="M102" s="179"/>
      <c r="N102" s="165"/>
      <c r="O102" s="165"/>
      <c r="P102" s="165"/>
    </row>
    <row r="103" spans="1:16" ht="14.25" customHeight="1">
      <c r="A103" s="1891"/>
      <c r="B103" s="1899"/>
      <c r="C103" s="110">
        <v>2019</v>
      </c>
      <c r="D103" s="37"/>
      <c r="E103" s="38"/>
      <c r="F103" s="177"/>
      <c r="G103" s="178"/>
      <c r="H103" s="178"/>
      <c r="I103" s="178"/>
      <c r="J103" s="178"/>
      <c r="K103" s="178"/>
      <c r="L103" s="178"/>
      <c r="M103" s="179"/>
      <c r="N103" s="165"/>
      <c r="O103" s="165"/>
      <c r="P103" s="165"/>
    </row>
    <row r="104" spans="1:16" ht="14.25" customHeight="1">
      <c r="A104" s="1891"/>
      <c r="B104" s="1899"/>
      <c r="C104" s="110">
        <v>2020</v>
      </c>
      <c r="D104" s="37"/>
      <c r="E104" s="38"/>
      <c r="F104" s="177"/>
      <c r="G104" s="178"/>
      <c r="H104" s="178"/>
      <c r="I104" s="178"/>
      <c r="J104" s="178"/>
      <c r="K104" s="178"/>
      <c r="L104" s="178"/>
      <c r="M104" s="179"/>
      <c r="N104" s="165"/>
      <c r="O104" s="165"/>
      <c r="P104" s="165"/>
    </row>
    <row r="105" spans="1:16" ht="19.5" customHeight="1" thickBot="1">
      <c r="A105" s="1915"/>
      <c r="B105" s="1900"/>
      <c r="C105" s="113" t="s">
        <v>13</v>
      </c>
      <c r="D105" s="139">
        <f>SUM(D98:D104)</f>
        <v>0</v>
      </c>
      <c r="E105" s="116">
        <f t="shared" ref="E105:K105" si="8">SUM(E98:E104)</f>
        <v>0</v>
      </c>
      <c r="F105" s="180">
        <f t="shared" si="8"/>
        <v>0</v>
      </c>
      <c r="G105" s="181">
        <f t="shared" si="8"/>
        <v>0</v>
      </c>
      <c r="H105" s="181">
        <f t="shared" si="8"/>
        <v>0</v>
      </c>
      <c r="I105" s="181">
        <f>SUM(I98:I104)</f>
        <v>0</v>
      </c>
      <c r="J105" s="181">
        <f t="shared" si="8"/>
        <v>0</v>
      </c>
      <c r="K105" s="181">
        <f t="shared" si="8"/>
        <v>0</v>
      </c>
      <c r="L105" s="181">
        <f>SUM(L98:L104)</f>
        <v>0</v>
      </c>
      <c r="M105" s="182">
        <f>SUM(M98:M104)</f>
        <v>0</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051" t="s">
        <v>77</v>
      </c>
      <c r="B107" s="2052" t="s">
        <v>179</v>
      </c>
      <c r="C107" s="2058" t="s">
        <v>9</v>
      </c>
      <c r="D107" s="2414" t="s">
        <v>78</v>
      </c>
      <c r="E107" s="162" t="s">
        <v>79</v>
      </c>
      <c r="F107" s="549"/>
      <c r="G107" s="549"/>
      <c r="H107" s="549"/>
      <c r="I107" s="549"/>
      <c r="J107" s="549"/>
      <c r="K107" s="549"/>
      <c r="L107" s="550"/>
      <c r="M107" s="185"/>
      <c r="N107" s="185"/>
    </row>
    <row r="108" spans="1:16" ht="103.5"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1898"/>
      <c r="B109" s="1899"/>
      <c r="C109" s="106">
        <v>2014</v>
      </c>
      <c r="D109" s="31"/>
      <c r="E109" s="174"/>
      <c r="F109" s="175"/>
      <c r="G109" s="175"/>
      <c r="H109" s="175"/>
      <c r="I109" s="175"/>
      <c r="J109" s="175"/>
      <c r="K109" s="175"/>
      <c r="L109" s="176"/>
      <c r="M109" s="185"/>
      <c r="N109" s="185"/>
    </row>
    <row r="110" spans="1:16">
      <c r="A110" s="1891"/>
      <c r="B110" s="1899"/>
      <c r="C110" s="110">
        <v>2015</v>
      </c>
      <c r="D110" s="38"/>
      <c r="E110" s="177"/>
      <c r="F110" s="178"/>
      <c r="G110" s="178"/>
      <c r="H110" s="178"/>
      <c r="I110" s="178"/>
      <c r="J110" s="178"/>
      <c r="K110" s="178"/>
      <c r="L110" s="179"/>
      <c r="M110" s="185"/>
      <c r="N110" s="185"/>
    </row>
    <row r="111" spans="1:16">
      <c r="A111" s="1891"/>
      <c r="B111" s="1899"/>
      <c r="C111" s="110">
        <v>2016</v>
      </c>
      <c r="D111" s="38"/>
      <c r="E111" s="177"/>
      <c r="F111" s="178"/>
      <c r="G111" s="178"/>
      <c r="H111" s="178"/>
      <c r="I111" s="178"/>
      <c r="J111" s="178"/>
      <c r="K111" s="178"/>
      <c r="L111" s="179"/>
      <c r="M111" s="185"/>
      <c r="N111" s="185"/>
    </row>
    <row r="112" spans="1:16">
      <c r="A112" s="1891"/>
      <c r="B112" s="1899"/>
      <c r="C112" s="110">
        <v>2017</v>
      </c>
      <c r="D112" s="38"/>
      <c r="E112" s="177"/>
      <c r="F112" s="178"/>
      <c r="G112" s="178"/>
      <c r="H112" s="178"/>
      <c r="I112" s="178"/>
      <c r="J112" s="178"/>
      <c r="K112" s="178"/>
      <c r="L112" s="179"/>
      <c r="M112" s="185"/>
      <c r="N112" s="185"/>
    </row>
    <row r="113" spans="1:14">
      <c r="A113" s="1891"/>
      <c r="B113" s="1899"/>
      <c r="C113" s="110">
        <v>2018</v>
      </c>
      <c r="D113" s="38"/>
      <c r="E113" s="177"/>
      <c r="F113" s="178"/>
      <c r="G113" s="178"/>
      <c r="H113" s="178"/>
      <c r="I113" s="178"/>
      <c r="J113" s="178"/>
      <c r="K113" s="178"/>
      <c r="L113" s="179"/>
      <c r="M113" s="185"/>
      <c r="N113" s="185"/>
    </row>
    <row r="114" spans="1:14">
      <c r="A114" s="1891"/>
      <c r="B114" s="1899"/>
      <c r="C114" s="110">
        <v>2019</v>
      </c>
      <c r="D114" s="38"/>
      <c r="E114" s="177"/>
      <c r="F114" s="178"/>
      <c r="G114" s="178"/>
      <c r="H114" s="178"/>
      <c r="I114" s="178"/>
      <c r="J114" s="178"/>
      <c r="K114" s="178"/>
      <c r="L114" s="179"/>
      <c r="M114" s="185"/>
      <c r="N114" s="185"/>
    </row>
    <row r="115" spans="1:14">
      <c r="A115" s="1891"/>
      <c r="B115" s="1899"/>
      <c r="C115" s="110">
        <v>2020</v>
      </c>
      <c r="D115" s="38"/>
      <c r="E115" s="177"/>
      <c r="F115" s="178"/>
      <c r="G115" s="178"/>
      <c r="H115" s="178"/>
      <c r="I115" s="178"/>
      <c r="J115" s="178"/>
      <c r="K115" s="178"/>
      <c r="L115" s="179"/>
      <c r="M115" s="185"/>
      <c r="N115" s="185"/>
    </row>
    <row r="116" spans="1:14" ht="25.5" customHeight="1" thickBot="1">
      <c r="A116" s="1915"/>
      <c r="B116" s="1900"/>
      <c r="C116" s="113" t="s">
        <v>13</v>
      </c>
      <c r="D116" s="116">
        <f t="shared" ref="D116:I116" si="9">SUM(D109:D115)</f>
        <v>0</v>
      </c>
      <c r="E116" s="180">
        <f t="shared" si="9"/>
        <v>0</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051" t="s">
        <v>81</v>
      </c>
      <c r="B118" s="2052" t="s">
        <v>179</v>
      </c>
      <c r="C118" s="2058" t="s">
        <v>9</v>
      </c>
      <c r="D118" s="2414" t="s">
        <v>82</v>
      </c>
      <c r="E118" s="162" t="s">
        <v>79</v>
      </c>
      <c r="F118" s="549"/>
      <c r="G118" s="549"/>
      <c r="H118" s="549"/>
      <c r="I118" s="549"/>
      <c r="J118" s="549"/>
      <c r="K118" s="549"/>
      <c r="L118" s="550"/>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1898"/>
      <c r="B120" s="1899"/>
      <c r="C120" s="106">
        <v>2014</v>
      </c>
      <c r="D120" s="31"/>
      <c r="E120" s="174"/>
      <c r="F120" s="175"/>
      <c r="G120" s="175"/>
      <c r="H120" s="175"/>
      <c r="I120" s="175"/>
      <c r="J120" s="175"/>
      <c r="K120" s="175"/>
      <c r="L120" s="176"/>
      <c r="M120" s="185"/>
      <c r="N120" s="185"/>
    </row>
    <row r="121" spans="1:14">
      <c r="A121" s="1891"/>
      <c r="B121" s="1899"/>
      <c r="C121" s="110">
        <v>2015</v>
      </c>
      <c r="D121" s="38"/>
      <c r="E121" s="177"/>
      <c r="F121" s="178"/>
      <c r="G121" s="178"/>
      <c r="H121" s="178"/>
      <c r="I121" s="178"/>
      <c r="J121" s="178"/>
      <c r="K121" s="178"/>
      <c r="L121" s="179"/>
      <c r="M121" s="185"/>
      <c r="N121" s="185"/>
    </row>
    <row r="122" spans="1:14">
      <c r="A122" s="1891"/>
      <c r="B122" s="1899"/>
      <c r="C122" s="110">
        <v>2016</v>
      </c>
      <c r="D122" s="38"/>
      <c r="E122" s="177"/>
      <c r="F122" s="178"/>
      <c r="G122" s="178"/>
      <c r="H122" s="178"/>
      <c r="I122" s="178"/>
      <c r="J122" s="178"/>
      <c r="K122" s="178"/>
      <c r="L122" s="179"/>
      <c r="M122" s="185"/>
      <c r="N122" s="185"/>
    </row>
    <row r="123" spans="1:14">
      <c r="A123" s="1891"/>
      <c r="B123" s="1899"/>
      <c r="C123" s="110">
        <v>2017</v>
      </c>
      <c r="D123" s="38"/>
      <c r="E123" s="177"/>
      <c r="F123" s="178"/>
      <c r="G123" s="178"/>
      <c r="H123" s="178"/>
      <c r="I123" s="178"/>
      <c r="J123" s="178"/>
      <c r="K123" s="178"/>
      <c r="L123" s="179"/>
      <c r="M123" s="185"/>
      <c r="N123" s="185"/>
    </row>
    <row r="124" spans="1:14">
      <c r="A124" s="1891"/>
      <c r="B124" s="1899"/>
      <c r="C124" s="110">
        <v>2018</v>
      </c>
      <c r="D124" s="38"/>
      <c r="E124" s="177"/>
      <c r="F124" s="178"/>
      <c r="G124" s="178"/>
      <c r="H124" s="178"/>
      <c r="I124" s="178"/>
      <c r="J124" s="178"/>
      <c r="K124" s="178"/>
      <c r="L124" s="179"/>
      <c r="M124" s="185"/>
      <c r="N124" s="185"/>
    </row>
    <row r="125" spans="1:14">
      <c r="A125" s="1891"/>
      <c r="B125" s="1899"/>
      <c r="C125" s="110">
        <v>2019</v>
      </c>
      <c r="D125" s="38"/>
      <c r="E125" s="177"/>
      <c r="F125" s="178"/>
      <c r="G125" s="178"/>
      <c r="H125" s="178"/>
      <c r="I125" s="178"/>
      <c r="J125" s="178"/>
      <c r="K125" s="178"/>
      <c r="L125" s="179"/>
      <c r="M125" s="185"/>
      <c r="N125" s="185"/>
    </row>
    <row r="126" spans="1:14">
      <c r="A126" s="1891"/>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051" t="s">
        <v>84</v>
      </c>
      <c r="B129" s="2052" t="s">
        <v>179</v>
      </c>
      <c r="C129" s="1534" t="s">
        <v>9</v>
      </c>
      <c r="D129" s="189" t="s">
        <v>85</v>
      </c>
      <c r="E129" s="553"/>
      <c r="F129" s="553"/>
      <c r="G129" s="191"/>
      <c r="H129" s="185"/>
      <c r="I129" s="185"/>
      <c r="J129" s="185"/>
      <c r="K129" s="185"/>
      <c r="L129" s="185"/>
      <c r="M129" s="185"/>
      <c r="N129" s="185"/>
    </row>
    <row r="130" spans="1:16" ht="77.25" customHeight="1">
      <c r="A130" s="1910"/>
      <c r="B130" s="1912"/>
      <c r="C130" s="1528"/>
      <c r="D130" s="166" t="s">
        <v>86</v>
      </c>
      <c r="E130" s="193" t="s">
        <v>87</v>
      </c>
      <c r="F130" s="167" t="s">
        <v>88</v>
      </c>
      <c r="G130" s="194" t="s">
        <v>13</v>
      </c>
      <c r="H130" s="185"/>
      <c r="I130" s="185"/>
      <c r="J130" s="185"/>
      <c r="K130" s="185"/>
      <c r="L130" s="185"/>
      <c r="M130" s="185"/>
      <c r="N130" s="185"/>
    </row>
    <row r="131" spans="1:16" ht="15" customHeight="1">
      <c r="A131" s="1874"/>
      <c r="B131" s="1855"/>
      <c r="C131" s="106">
        <v>2015</v>
      </c>
      <c r="D131" s="30"/>
      <c r="E131" s="31"/>
      <c r="F131" s="31"/>
      <c r="G131" s="195">
        <f t="shared" ref="G131:G136" si="11">SUM(D131:F131)</f>
        <v>0</v>
      </c>
      <c r="H131" s="185"/>
      <c r="I131" s="185"/>
      <c r="J131" s="185"/>
      <c r="K131" s="185"/>
      <c r="L131" s="185"/>
      <c r="M131" s="185"/>
      <c r="N131" s="185"/>
    </row>
    <row r="132" spans="1:16">
      <c r="A132" s="1854"/>
      <c r="B132" s="1855"/>
      <c r="C132" s="110">
        <v>2016</v>
      </c>
      <c r="D132" s="37"/>
      <c r="E132" s="38"/>
      <c r="F132" s="38"/>
      <c r="G132" s="195">
        <f t="shared" si="11"/>
        <v>0</v>
      </c>
      <c r="H132" s="185"/>
      <c r="I132" s="185"/>
      <c r="J132" s="185"/>
      <c r="K132" s="185"/>
      <c r="L132" s="185"/>
      <c r="M132" s="185"/>
      <c r="N132" s="185"/>
    </row>
    <row r="133" spans="1:16">
      <c r="A133" s="1854"/>
      <c r="B133" s="1855"/>
      <c r="C133" s="110">
        <v>2017</v>
      </c>
      <c r="D133" s="37"/>
      <c r="E133" s="38"/>
      <c r="F133" s="38"/>
      <c r="G133" s="195">
        <f t="shared" si="11"/>
        <v>0</v>
      </c>
      <c r="H133" s="185"/>
      <c r="I133" s="185"/>
      <c r="J133" s="185"/>
      <c r="K133" s="185"/>
      <c r="L133" s="185"/>
      <c r="M133" s="185"/>
      <c r="N133" s="185"/>
    </row>
    <row r="134" spans="1:16">
      <c r="A134" s="1854"/>
      <c r="B134" s="1855"/>
      <c r="C134" s="110">
        <v>2018</v>
      </c>
      <c r="D134" s="37"/>
      <c r="E134" s="38"/>
      <c r="F134" s="38"/>
      <c r="G134" s="195">
        <f t="shared" si="11"/>
        <v>0</v>
      </c>
      <c r="H134" s="185"/>
      <c r="I134" s="185"/>
      <c r="J134" s="185"/>
      <c r="K134" s="185"/>
      <c r="L134" s="185"/>
      <c r="M134" s="185"/>
      <c r="N134" s="185"/>
    </row>
    <row r="135" spans="1:16">
      <c r="A135" s="1854"/>
      <c r="B135" s="1855"/>
      <c r="C135" s="110">
        <v>2019</v>
      </c>
      <c r="D135" s="37"/>
      <c r="E135" s="38"/>
      <c r="F135" s="38"/>
      <c r="G135" s="195">
        <f t="shared" si="11"/>
        <v>0</v>
      </c>
      <c r="H135" s="185"/>
      <c r="I135" s="185"/>
      <c r="J135" s="185"/>
      <c r="K135" s="185"/>
      <c r="L135" s="185"/>
      <c r="M135" s="185"/>
      <c r="N135" s="185"/>
    </row>
    <row r="136" spans="1:16">
      <c r="A136" s="1854"/>
      <c r="B136" s="1855"/>
      <c r="C136" s="110">
        <v>2020</v>
      </c>
      <c r="D136" s="37"/>
      <c r="E136" s="38"/>
      <c r="F136" s="38"/>
      <c r="G136" s="195">
        <f t="shared" si="11"/>
        <v>0</v>
      </c>
      <c r="H136" s="185"/>
      <c r="I136" s="185"/>
      <c r="J136" s="185"/>
      <c r="K136" s="185"/>
      <c r="L136" s="185"/>
      <c r="M136" s="185"/>
      <c r="N136" s="185"/>
    </row>
    <row r="137" spans="1:16" ht="17.25" customHeight="1" thickBot="1">
      <c r="A137" s="1856"/>
      <c r="B137" s="1857"/>
      <c r="C137" s="113" t="s">
        <v>13</v>
      </c>
      <c r="D137" s="139">
        <f>SUM(D131:D136)</f>
        <v>0</v>
      </c>
      <c r="E137" s="139">
        <f t="shared" ref="E137:F137" si="12">SUM(E131:E136)</f>
        <v>0</v>
      </c>
      <c r="F137" s="139">
        <f t="shared" si="12"/>
        <v>0</v>
      </c>
      <c r="G137" s="196">
        <f>SUM(G131:G136)</f>
        <v>0</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050" t="s">
        <v>91</v>
      </c>
      <c r="B142" s="2048" t="s">
        <v>179</v>
      </c>
      <c r="C142" s="2043" t="s">
        <v>9</v>
      </c>
      <c r="D142" s="554" t="s">
        <v>92</v>
      </c>
      <c r="E142" s="555"/>
      <c r="F142" s="555"/>
      <c r="G142" s="555"/>
      <c r="H142" s="555"/>
      <c r="I142" s="556"/>
      <c r="J142" s="2044" t="s">
        <v>93</v>
      </c>
      <c r="K142" s="2045"/>
      <c r="L142" s="2045"/>
      <c r="M142" s="2045"/>
      <c r="N142" s="2046"/>
      <c r="O142" s="165"/>
      <c r="P142" s="165"/>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c r="B144" s="1899"/>
      <c r="C144" s="106">
        <v>2014</v>
      </c>
      <c r="D144" s="30"/>
      <c r="E144" s="30"/>
      <c r="F144" s="31"/>
      <c r="G144" s="175"/>
      <c r="H144" s="175"/>
      <c r="I144" s="213">
        <f>D144+F144+G144+H144</f>
        <v>0</v>
      </c>
      <c r="J144" s="214"/>
      <c r="K144" s="215"/>
      <c r="L144" s="214"/>
      <c r="M144" s="215"/>
      <c r="N144" s="216"/>
      <c r="O144" s="165"/>
      <c r="P144" s="165"/>
    </row>
    <row r="145" spans="1:16" ht="19.5" customHeight="1">
      <c r="A145" s="1891"/>
      <c r="B145" s="1899"/>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1891"/>
      <c r="B146" s="1899"/>
      <c r="C146" s="110">
        <v>2016</v>
      </c>
      <c r="D146" s="37"/>
      <c r="E146" s="37"/>
      <c r="F146" s="38"/>
      <c r="G146" s="178"/>
      <c r="H146" s="178"/>
      <c r="I146" s="213">
        <f t="shared" si="13"/>
        <v>0</v>
      </c>
      <c r="J146" s="217"/>
      <c r="K146" s="218"/>
      <c r="L146" s="217"/>
      <c r="M146" s="218"/>
      <c r="N146" s="219"/>
      <c r="O146" s="165"/>
      <c r="P146" s="165"/>
    </row>
    <row r="147" spans="1:16" ht="17.25" customHeight="1">
      <c r="A147" s="1891"/>
      <c r="B147" s="1899"/>
      <c r="C147" s="110">
        <v>2017</v>
      </c>
      <c r="D147" s="37"/>
      <c r="E147" s="37"/>
      <c r="F147" s="38"/>
      <c r="G147" s="178"/>
      <c r="H147" s="178"/>
      <c r="I147" s="213">
        <f t="shared" si="13"/>
        <v>0</v>
      </c>
      <c r="J147" s="217"/>
      <c r="K147" s="218"/>
      <c r="L147" s="217"/>
      <c r="M147" s="218"/>
      <c r="N147" s="219"/>
      <c r="O147" s="165"/>
      <c r="P147" s="165"/>
    </row>
    <row r="148" spans="1:16" ht="19.5" customHeight="1">
      <c r="A148" s="1891"/>
      <c r="B148" s="1899"/>
      <c r="C148" s="110">
        <v>2018</v>
      </c>
      <c r="D148" s="37"/>
      <c r="E148" s="37"/>
      <c r="F148" s="38"/>
      <c r="G148" s="178"/>
      <c r="H148" s="178"/>
      <c r="I148" s="213">
        <f t="shared" si="13"/>
        <v>0</v>
      </c>
      <c r="J148" s="217"/>
      <c r="K148" s="218"/>
      <c r="L148" s="217"/>
      <c r="M148" s="218"/>
      <c r="N148" s="219"/>
      <c r="O148" s="165"/>
      <c r="P148" s="165"/>
    </row>
    <row r="149" spans="1:16" ht="19.5" customHeight="1">
      <c r="A149" s="1891"/>
      <c r="B149" s="1899"/>
      <c r="C149" s="110">
        <v>2019</v>
      </c>
      <c r="D149" s="37"/>
      <c r="E149" s="37"/>
      <c r="F149" s="38"/>
      <c r="G149" s="178"/>
      <c r="H149" s="178"/>
      <c r="I149" s="213">
        <f t="shared" si="13"/>
        <v>0</v>
      </c>
      <c r="J149" s="217"/>
      <c r="K149" s="218"/>
      <c r="L149" s="217"/>
      <c r="M149" s="218"/>
      <c r="N149" s="219"/>
      <c r="O149" s="165"/>
      <c r="P149" s="165"/>
    </row>
    <row r="150" spans="1:16" ht="18.75" customHeight="1">
      <c r="A150" s="1891"/>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2047" t="s">
        <v>105</v>
      </c>
      <c r="B153" s="2048" t="s">
        <v>179</v>
      </c>
      <c r="C153" s="2049" t="s">
        <v>9</v>
      </c>
      <c r="D153" s="557" t="s">
        <v>106</v>
      </c>
      <c r="E153" s="557"/>
      <c r="F153" s="558"/>
      <c r="G153" s="558"/>
      <c r="H153" s="557" t="s">
        <v>107</v>
      </c>
      <c r="I153" s="557"/>
      <c r="J153" s="559"/>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1898"/>
      <c r="B155" s="1899"/>
      <c r="C155" s="233">
        <v>2014</v>
      </c>
      <c r="D155" s="214"/>
      <c r="E155" s="175"/>
      <c r="F155" s="215"/>
      <c r="G155" s="213">
        <f>SUM(D155:F155)</f>
        <v>0</v>
      </c>
      <c r="H155" s="214"/>
      <c r="I155" s="175"/>
      <c r="J155" s="176"/>
      <c r="O155" s="165"/>
      <c r="P155" s="165"/>
    </row>
    <row r="156" spans="1:16" ht="19.5" customHeight="1">
      <c r="A156" s="1891"/>
      <c r="B156" s="1899"/>
      <c r="C156" s="234">
        <v>2015</v>
      </c>
      <c r="D156" s="217"/>
      <c r="E156" s="178"/>
      <c r="F156" s="218"/>
      <c r="G156" s="213">
        <f t="shared" ref="G156:G161" si="15">SUM(D156:F156)</f>
        <v>0</v>
      </c>
      <c r="H156" s="217"/>
      <c r="I156" s="178"/>
      <c r="J156" s="179"/>
      <c r="O156" s="165"/>
      <c r="P156" s="165"/>
    </row>
    <row r="157" spans="1:16" ht="17.25" customHeight="1">
      <c r="A157" s="1891"/>
      <c r="B157" s="1899"/>
      <c r="C157" s="234">
        <v>2016</v>
      </c>
      <c r="D157" s="217"/>
      <c r="E157" s="178"/>
      <c r="F157" s="218"/>
      <c r="G157" s="213">
        <f t="shared" si="15"/>
        <v>0</v>
      </c>
      <c r="H157" s="217"/>
      <c r="I157" s="178"/>
      <c r="J157" s="179"/>
      <c r="O157" s="165"/>
      <c r="P157" s="165"/>
    </row>
    <row r="158" spans="1:16" ht="15" customHeight="1">
      <c r="A158" s="1891"/>
      <c r="B158" s="1899"/>
      <c r="C158" s="234">
        <v>2017</v>
      </c>
      <c r="D158" s="217"/>
      <c r="E158" s="178"/>
      <c r="F158" s="218"/>
      <c r="G158" s="213">
        <f t="shared" si="15"/>
        <v>0</v>
      </c>
      <c r="H158" s="217"/>
      <c r="I158" s="178"/>
      <c r="J158" s="179"/>
      <c r="O158" s="165"/>
      <c r="P158" s="165"/>
    </row>
    <row r="159" spans="1:16" ht="19.5" customHeight="1">
      <c r="A159" s="1891"/>
      <c r="B159" s="1899"/>
      <c r="C159" s="234">
        <v>2018</v>
      </c>
      <c r="D159" s="217"/>
      <c r="E159" s="178"/>
      <c r="F159" s="218"/>
      <c r="G159" s="213">
        <f t="shared" si="15"/>
        <v>0</v>
      </c>
      <c r="H159" s="217"/>
      <c r="I159" s="178"/>
      <c r="J159" s="179"/>
      <c r="O159" s="165"/>
      <c r="P159" s="165"/>
    </row>
    <row r="160" spans="1:16" ht="15" customHeight="1">
      <c r="A160" s="1891"/>
      <c r="B160" s="1899"/>
      <c r="C160" s="234">
        <v>2019</v>
      </c>
      <c r="D160" s="217"/>
      <c r="E160" s="178"/>
      <c r="F160" s="218"/>
      <c r="G160" s="213">
        <f t="shared" si="15"/>
        <v>0</v>
      </c>
      <c r="H160" s="217"/>
      <c r="I160" s="178"/>
      <c r="J160" s="179"/>
      <c r="O160" s="165"/>
      <c r="P160" s="165"/>
    </row>
    <row r="161" spans="1:18" ht="17.25" customHeight="1">
      <c r="A161" s="1891"/>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560"/>
      <c r="F163" s="165"/>
      <c r="G163" s="165"/>
      <c r="H163" s="165"/>
      <c r="I163" s="165"/>
      <c r="J163" s="241"/>
      <c r="K163" s="242"/>
    </row>
    <row r="164" spans="1:18" ht="95.25" customHeight="1">
      <c r="A164" s="243" t="s">
        <v>115</v>
      </c>
      <c r="B164" s="405" t="s">
        <v>181</v>
      </c>
      <c r="C164" s="1567" t="s">
        <v>9</v>
      </c>
      <c r="D164" s="246" t="s">
        <v>117</v>
      </c>
      <c r="E164" s="246" t="s">
        <v>118</v>
      </c>
      <c r="F164" s="561" t="s">
        <v>119</v>
      </c>
      <c r="G164" s="246" t="s">
        <v>120</v>
      </c>
      <c r="H164" s="246" t="s">
        <v>121</v>
      </c>
      <c r="I164" s="248" t="s">
        <v>122</v>
      </c>
      <c r="J164" s="249" t="s">
        <v>123</v>
      </c>
      <c r="K164" s="249" t="s">
        <v>124</v>
      </c>
      <c r="L164" s="1531"/>
    </row>
    <row r="165" spans="1:18" ht="15.75" customHeight="1">
      <c r="A165" s="1878"/>
      <c r="B165" s="1879"/>
      <c r="C165" s="251">
        <v>2014</v>
      </c>
      <c r="D165" s="175"/>
      <c r="E165" s="175"/>
      <c r="F165" s="175"/>
      <c r="G165" s="175"/>
      <c r="H165" s="175"/>
      <c r="I165" s="176"/>
      <c r="J165" s="252">
        <f>SUM(D165,F165,H165)</f>
        <v>0</v>
      </c>
      <c r="K165" s="253">
        <f>SUM(E165,G165,I165)</f>
        <v>0</v>
      </c>
      <c r="L165" s="1531"/>
    </row>
    <row r="166" spans="1:18">
      <c r="A166" s="1880"/>
      <c r="B166" s="1881"/>
      <c r="C166" s="254">
        <v>2015</v>
      </c>
      <c r="D166" s="255"/>
      <c r="E166" s="255"/>
      <c r="F166" s="255"/>
      <c r="G166" s="255"/>
      <c r="H166" s="255"/>
      <c r="I166" s="256"/>
      <c r="J166" s="407">
        <f t="shared" ref="J166:K171" si="17">SUM(D166,F166,H166)</f>
        <v>0</v>
      </c>
      <c r="K166" s="408">
        <f t="shared" si="17"/>
        <v>0</v>
      </c>
      <c r="L166" s="1531"/>
    </row>
    <row r="167" spans="1:18">
      <c r="A167" s="1880"/>
      <c r="B167" s="1881"/>
      <c r="C167" s="254">
        <v>2016</v>
      </c>
      <c r="D167" s="255"/>
      <c r="E167" s="255"/>
      <c r="F167" s="255"/>
      <c r="G167" s="255"/>
      <c r="H167" s="255"/>
      <c r="I167" s="256"/>
      <c r="J167" s="407">
        <f t="shared" si="17"/>
        <v>0</v>
      </c>
      <c r="K167" s="408">
        <f t="shared" si="17"/>
        <v>0</v>
      </c>
    </row>
    <row r="168" spans="1:18">
      <c r="A168" s="1880"/>
      <c r="B168" s="1881"/>
      <c r="C168" s="254">
        <v>2017</v>
      </c>
      <c r="D168" s="255"/>
      <c r="E168" s="165"/>
      <c r="F168" s="255"/>
      <c r="G168" s="255"/>
      <c r="H168" s="255"/>
      <c r="I168" s="256"/>
      <c r="J168" s="407">
        <f t="shared" si="17"/>
        <v>0</v>
      </c>
      <c r="K168" s="408">
        <f t="shared" si="17"/>
        <v>0</v>
      </c>
    </row>
    <row r="169" spans="1:18">
      <c r="A169" s="1880"/>
      <c r="B169" s="1881"/>
      <c r="C169" s="262">
        <v>2018</v>
      </c>
      <c r="D169" s="255"/>
      <c r="E169" s="255"/>
      <c r="F169" s="255"/>
      <c r="G169" s="263"/>
      <c r="H169" s="255"/>
      <c r="I169" s="256"/>
      <c r="J169" s="407">
        <f t="shared" si="17"/>
        <v>0</v>
      </c>
      <c r="K169" s="408">
        <f t="shared" si="17"/>
        <v>0</v>
      </c>
      <c r="L169" s="1531"/>
    </row>
    <row r="170" spans="1:18">
      <c r="A170" s="1880"/>
      <c r="B170" s="1881"/>
      <c r="C170" s="254">
        <v>2019</v>
      </c>
      <c r="D170" s="165"/>
      <c r="E170" s="255"/>
      <c r="F170" s="255"/>
      <c r="G170" s="255"/>
      <c r="H170" s="263"/>
      <c r="I170" s="256"/>
      <c r="J170" s="407">
        <f t="shared" si="17"/>
        <v>0</v>
      </c>
      <c r="K170" s="408">
        <f t="shared" si="17"/>
        <v>0</v>
      </c>
      <c r="L170" s="1531"/>
    </row>
    <row r="171" spans="1:18">
      <c r="A171" s="1880"/>
      <c r="B171" s="1881"/>
      <c r="C171" s="262">
        <v>2020</v>
      </c>
      <c r="D171" s="255"/>
      <c r="E171" s="255"/>
      <c r="F171" s="255"/>
      <c r="G171" s="255"/>
      <c r="H171" s="255"/>
      <c r="I171" s="256"/>
      <c r="J171" s="407">
        <f t="shared" si="17"/>
        <v>0</v>
      </c>
      <c r="K171" s="408">
        <f t="shared" si="17"/>
        <v>0</v>
      </c>
      <c r="L171" s="1531"/>
    </row>
    <row r="172" spans="1:18" ht="41.25" customHeight="1" thickBot="1">
      <c r="A172" s="1882"/>
      <c r="B172" s="1883"/>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1531"/>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039" t="s">
        <v>127</v>
      </c>
      <c r="B176" s="2037" t="s">
        <v>182</v>
      </c>
      <c r="C176" s="2040" t="s">
        <v>9</v>
      </c>
      <c r="D176" s="273" t="s">
        <v>128</v>
      </c>
      <c r="E176" s="562"/>
      <c r="F176" s="562"/>
      <c r="G176" s="563"/>
      <c r="H176" s="276"/>
      <c r="I176" s="1888" t="s">
        <v>129</v>
      </c>
      <c r="J176" s="2041"/>
      <c r="K176" s="2041"/>
      <c r="L176" s="2041"/>
      <c r="M176" s="2041"/>
      <c r="N176" s="2041"/>
      <c r="O176" s="2042"/>
    </row>
    <row r="177" spans="1:15" s="56" customFormat="1" ht="129.7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1891" t="s">
        <v>513</v>
      </c>
      <c r="B178" s="1899"/>
      <c r="C178" s="106">
        <v>2014</v>
      </c>
      <c r="D178" s="30"/>
      <c r="E178" s="31"/>
      <c r="F178" s="31"/>
      <c r="G178" s="284">
        <f>SUM(D178:F178)</f>
        <v>0</v>
      </c>
      <c r="H178" s="155"/>
      <c r="I178" s="155"/>
      <c r="J178" s="31"/>
      <c r="K178" s="31"/>
      <c r="L178" s="31"/>
      <c r="M178" s="31"/>
      <c r="N178" s="31"/>
      <c r="O178" s="34"/>
    </row>
    <row r="179" spans="1:15">
      <c r="A179" s="1891"/>
      <c r="B179" s="1899"/>
      <c r="C179" s="110">
        <v>2015</v>
      </c>
      <c r="D179" s="37">
        <v>2</v>
      </c>
      <c r="E179" s="38"/>
      <c r="F179" s="38"/>
      <c r="G179" s="284">
        <f t="shared" ref="G179:G184" si="19">SUM(D179:F179)</f>
        <v>2</v>
      </c>
      <c r="H179" s="411"/>
      <c r="I179" s="112">
        <v>2</v>
      </c>
      <c r="J179" s="38"/>
      <c r="K179" s="38"/>
      <c r="L179" s="38"/>
      <c r="M179" s="38"/>
      <c r="N179" s="38"/>
      <c r="O179" s="88"/>
    </row>
    <row r="180" spans="1:15">
      <c r="A180" s="1891"/>
      <c r="B180" s="1899"/>
      <c r="C180" s="110">
        <v>2016</v>
      </c>
      <c r="D180" s="37">
        <v>14</v>
      </c>
      <c r="E180" s="38">
        <v>3</v>
      </c>
      <c r="F180" s="38"/>
      <c r="G180" s="284">
        <f t="shared" si="19"/>
        <v>17</v>
      </c>
      <c r="H180" s="411">
        <v>23</v>
      </c>
      <c r="I180" s="112">
        <v>14</v>
      </c>
      <c r="J180" s="38">
        <v>3</v>
      </c>
      <c r="K180" s="38"/>
      <c r="L180" s="38"/>
      <c r="M180" s="38"/>
      <c r="N180" s="38"/>
      <c r="O180" s="88"/>
    </row>
    <row r="181" spans="1:15">
      <c r="A181" s="1891"/>
      <c r="B181" s="1899"/>
      <c r="C181" s="110">
        <v>2017</v>
      </c>
      <c r="D181" s="37">
        <v>9</v>
      </c>
      <c r="E181" s="38">
        <v>5</v>
      </c>
      <c r="F181" s="38"/>
      <c r="G181" s="284">
        <f t="shared" si="19"/>
        <v>14</v>
      </c>
      <c r="H181" s="411">
        <v>19</v>
      </c>
      <c r="I181" s="112">
        <v>8</v>
      </c>
      <c r="J181" s="38">
        <v>6</v>
      </c>
      <c r="K181" s="38"/>
      <c r="L181" s="38"/>
      <c r="M181" s="38"/>
      <c r="N181" s="38"/>
      <c r="O181" s="88"/>
    </row>
    <row r="182" spans="1:15">
      <c r="A182" s="1891"/>
      <c r="B182" s="1899"/>
      <c r="C182" s="110">
        <v>2018</v>
      </c>
      <c r="D182" s="37"/>
      <c r="E182" s="38"/>
      <c r="F182" s="38"/>
      <c r="G182" s="284">
        <f t="shared" si="19"/>
        <v>0</v>
      </c>
      <c r="H182" s="411"/>
      <c r="I182" s="112"/>
      <c r="J182" s="38"/>
      <c r="K182" s="38"/>
      <c r="L182" s="38"/>
      <c r="M182" s="38"/>
      <c r="N182" s="38"/>
      <c r="O182" s="88"/>
    </row>
    <row r="183" spans="1:15">
      <c r="A183" s="1891"/>
      <c r="B183" s="1899"/>
      <c r="C183" s="110">
        <v>2019</v>
      </c>
      <c r="D183" s="37"/>
      <c r="E183" s="38"/>
      <c r="F183" s="38"/>
      <c r="G183" s="284">
        <f t="shared" si="19"/>
        <v>0</v>
      </c>
      <c r="H183" s="411"/>
      <c r="I183" s="112"/>
      <c r="J183" s="38"/>
      <c r="K183" s="38"/>
      <c r="L183" s="38"/>
      <c r="M183" s="38"/>
      <c r="N183" s="38"/>
      <c r="O183" s="88"/>
    </row>
    <row r="184" spans="1:15">
      <c r="A184" s="1891"/>
      <c r="B184" s="1899"/>
      <c r="C184" s="110">
        <v>2020</v>
      </c>
      <c r="D184" s="37"/>
      <c r="E184" s="38"/>
      <c r="F184" s="38"/>
      <c r="G184" s="284">
        <f t="shared" si="19"/>
        <v>0</v>
      </c>
      <c r="H184" s="411"/>
      <c r="I184" s="112"/>
      <c r="J184" s="38"/>
      <c r="K184" s="38"/>
      <c r="L184" s="38"/>
      <c r="M184" s="38"/>
      <c r="N184" s="38"/>
      <c r="O184" s="88"/>
    </row>
    <row r="185" spans="1:15" ht="240" customHeight="1" thickBot="1">
      <c r="A185" s="1893"/>
      <c r="B185" s="1900"/>
      <c r="C185" s="113" t="s">
        <v>13</v>
      </c>
      <c r="D185" s="139">
        <f>SUM(D178:D184)</f>
        <v>25</v>
      </c>
      <c r="E185" s="116">
        <f>SUM(E178:E184)</f>
        <v>8</v>
      </c>
      <c r="F185" s="116">
        <f>SUM(F178:F184)</f>
        <v>0</v>
      </c>
      <c r="G185" s="220">
        <f t="shared" ref="G185:O185" si="20">SUM(G178:G184)</f>
        <v>33</v>
      </c>
      <c r="H185" s="285">
        <f t="shared" si="20"/>
        <v>42</v>
      </c>
      <c r="I185" s="115">
        <f t="shared" si="20"/>
        <v>24</v>
      </c>
      <c r="J185" s="116">
        <f t="shared" si="20"/>
        <v>9</v>
      </c>
      <c r="K185" s="116">
        <f t="shared" si="20"/>
        <v>0</v>
      </c>
      <c r="L185" s="116">
        <f t="shared" si="20"/>
        <v>0</v>
      </c>
      <c r="M185" s="116">
        <f t="shared" si="20"/>
        <v>0</v>
      </c>
      <c r="N185" s="116">
        <f t="shared" si="20"/>
        <v>0</v>
      </c>
      <c r="O185" s="117">
        <f t="shared" si="20"/>
        <v>0</v>
      </c>
    </row>
    <row r="186" spans="1:15" ht="33" customHeight="1" thickBot="1"/>
    <row r="187" spans="1:15" ht="19.5" customHeight="1">
      <c r="A187" s="1861" t="s">
        <v>137</v>
      </c>
      <c r="B187" s="2037" t="s">
        <v>182</v>
      </c>
      <c r="C187" s="1865" t="s">
        <v>9</v>
      </c>
      <c r="D187" s="1867" t="s">
        <v>138</v>
      </c>
      <c r="E187" s="2038"/>
      <c r="F187" s="2038"/>
      <c r="G187" s="1869"/>
      <c r="H187" s="1870"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1976" t="s">
        <v>514</v>
      </c>
      <c r="B189" s="1977"/>
      <c r="C189" s="290">
        <v>2014</v>
      </c>
      <c r="D189" s="133"/>
      <c r="E189" s="109"/>
      <c r="F189" s="109"/>
      <c r="G189" s="291">
        <f>SUM(D189:F189)</f>
        <v>0</v>
      </c>
      <c r="H189" s="108"/>
      <c r="I189" s="109"/>
      <c r="J189" s="109"/>
      <c r="K189" s="109"/>
      <c r="L189" s="134"/>
    </row>
    <row r="190" spans="1:15">
      <c r="A190" s="1978"/>
      <c r="B190" s="1855"/>
      <c r="C190" s="73">
        <v>2015</v>
      </c>
      <c r="D190" s="37">
        <v>40</v>
      </c>
      <c r="E190" s="38"/>
      <c r="F190" s="38"/>
      <c r="G190" s="291">
        <f t="shared" ref="G190:G195" si="21">SUM(D190:F190)</f>
        <v>40</v>
      </c>
      <c r="H190" s="112"/>
      <c r="I190" s="38"/>
      <c r="J190" s="38">
        <v>11</v>
      </c>
      <c r="K190" s="38">
        <v>8</v>
      </c>
      <c r="L190" s="88">
        <v>21</v>
      </c>
    </row>
    <row r="191" spans="1:15">
      <c r="A191" s="1978"/>
      <c r="B191" s="1855"/>
      <c r="C191" s="73">
        <v>2016</v>
      </c>
      <c r="D191" s="37">
        <v>279</v>
      </c>
      <c r="E191" s="38">
        <v>60</v>
      </c>
      <c r="F191" s="38"/>
      <c r="G191" s="291">
        <f t="shared" si="21"/>
        <v>339</v>
      </c>
      <c r="H191" s="112"/>
      <c r="I191" s="38"/>
      <c r="J191" s="38">
        <v>185</v>
      </c>
      <c r="K191" s="38"/>
      <c r="L191" s="88">
        <v>154</v>
      </c>
    </row>
    <row r="192" spans="1:15">
      <c r="A192" s="1978"/>
      <c r="B192" s="1855"/>
      <c r="C192" s="73">
        <v>2017</v>
      </c>
      <c r="D192" s="395">
        <v>279</v>
      </c>
      <c r="E192" s="38">
        <v>105</v>
      </c>
      <c r="F192" s="38"/>
      <c r="G192" s="291">
        <f t="shared" si="21"/>
        <v>384</v>
      </c>
      <c r="H192" s="112"/>
      <c r="I192" s="38"/>
      <c r="J192" s="38">
        <v>154</v>
      </c>
      <c r="K192" s="38">
        <v>202</v>
      </c>
      <c r="L192" s="88">
        <v>28</v>
      </c>
      <c r="N192" s="35">
        <v>50</v>
      </c>
    </row>
    <row r="193" spans="1:14">
      <c r="A193" s="1978"/>
      <c r="B193" s="1855"/>
      <c r="C193" s="73">
        <v>2018</v>
      </c>
      <c r="D193" s="37"/>
      <c r="E193" s="38"/>
      <c r="F193" s="38"/>
      <c r="G193" s="291">
        <f t="shared" si="21"/>
        <v>0</v>
      </c>
      <c r="H193" s="112"/>
      <c r="I193" s="38"/>
      <c r="J193" s="38"/>
      <c r="K193" s="38"/>
      <c r="L193" s="88"/>
      <c r="N193">
        <v>17</v>
      </c>
    </row>
    <row r="194" spans="1:14">
      <c r="A194" s="1978"/>
      <c r="B194" s="1855"/>
      <c r="C194" s="73">
        <v>2019</v>
      </c>
      <c r="D194" s="37"/>
      <c r="E194" s="38"/>
      <c r="F194" s="38"/>
      <c r="G194" s="291">
        <f t="shared" si="21"/>
        <v>0</v>
      </c>
      <c r="H194" s="112"/>
      <c r="I194" s="38"/>
      <c r="J194" s="38"/>
      <c r="K194" s="38"/>
      <c r="L194" s="88"/>
      <c r="N194">
        <v>80</v>
      </c>
    </row>
    <row r="195" spans="1:14">
      <c r="A195" s="1978"/>
      <c r="B195" s="1855"/>
      <c r="C195" s="73">
        <v>2020</v>
      </c>
      <c r="D195" s="37"/>
      <c r="E195" s="38"/>
      <c r="F195" s="38"/>
      <c r="G195" s="291">
        <f t="shared" si="21"/>
        <v>0</v>
      </c>
      <c r="H195" s="112"/>
      <c r="I195" s="38"/>
      <c r="J195" s="38"/>
      <c r="K195" s="38"/>
      <c r="L195" s="88"/>
      <c r="N195">
        <v>25</v>
      </c>
    </row>
    <row r="196" spans="1:14" ht="15.75" thickBot="1">
      <c r="A196" s="1979"/>
      <c r="B196" s="1857"/>
      <c r="C196" s="136" t="s">
        <v>13</v>
      </c>
      <c r="D196" s="139">
        <f t="shared" ref="D196:L196" si="22">SUM(D189:D195)</f>
        <v>598</v>
      </c>
      <c r="E196" s="116">
        <f t="shared" si="22"/>
        <v>165</v>
      </c>
      <c r="F196" s="116">
        <f t="shared" si="22"/>
        <v>0</v>
      </c>
      <c r="G196" s="292">
        <f t="shared" si="22"/>
        <v>763</v>
      </c>
      <c r="H196" s="115">
        <f t="shared" si="22"/>
        <v>0</v>
      </c>
      <c r="I196" s="116">
        <f t="shared" si="22"/>
        <v>0</v>
      </c>
      <c r="J196" s="116">
        <f t="shared" si="22"/>
        <v>350</v>
      </c>
      <c r="K196" s="116">
        <f t="shared" si="22"/>
        <v>210</v>
      </c>
      <c r="L196" s="117">
        <f t="shared" si="22"/>
        <v>203</v>
      </c>
      <c r="N196" s="1714">
        <f>SUM(J196:L196)</f>
        <v>763</v>
      </c>
    </row>
    <row r="197" spans="1:14">
      <c r="N197">
        <f>SUM(N192:N196)</f>
        <v>935</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569" t="s">
        <v>150</v>
      </c>
      <c r="B201" s="417" t="s">
        <v>182</v>
      </c>
      <c r="C201" s="298" t="s">
        <v>9</v>
      </c>
      <c r="D201" s="299" t="s">
        <v>151</v>
      </c>
      <c r="E201" s="300" t="s">
        <v>152</v>
      </c>
      <c r="F201" s="300" t="s">
        <v>153</v>
      </c>
      <c r="G201" s="298" t="s">
        <v>154</v>
      </c>
      <c r="H201" s="570" t="s">
        <v>155</v>
      </c>
      <c r="I201" s="302" t="s">
        <v>156</v>
      </c>
      <c r="J201" s="303" t="s">
        <v>157</v>
      </c>
      <c r="K201" s="300" t="s">
        <v>158</v>
      </c>
      <c r="L201" s="304" t="s">
        <v>159</v>
      </c>
    </row>
    <row r="202" spans="1:14" ht="15" customHeight="1">
      <c r="A202" s="1854"/>
      <c r="B202" s="1855"/>
      <c r="C202" s="72">
        <v>2014</v>
      </c>
      <c r="D202" s="30"/>
      <c r="E202" s="31"/>
      <c r="F202" s="31"/>
      <c r="G202" s="29"/>
      <c r="H202" s="305"/>
      <c r="I202" s="306"/>
      <c r="J202" s="307"/>
      <c r="K202" s="31"/>
      <c r="L202" s="34"/>
    </row>
    <row r="203" spans="1:14">
      <c r="A203" s="1854"/>
      <c r="B203" s="1855"/>
      <c r="C203" s="73">
        <v>2015</v>
      </c>
      <c r="D203" s="37"/>
      <c r="E203" s="38"/>
      <c r="F203" s="38"/>
      <c r="G203" s="36"/>
      <c r="H203" s="308"/>
      <c r="I203" s="309"/>
      <c r="J203" s="310"/>
      <c r="K203" s="38"/>
      <c r="L203" s="88"/>
    </row>
    <row r="204" spans="1:14">
      <c r="A204" s="1854"/>
      <c r="B204" s="1855"/>
      <c r="C204" s="73">
        <v>2016</v>
      </c>
      <c r="D204" s="37"/>
      <c r="E204" s="38"/>
      <c r="F204" s="38"/>
      <c r="G204" s="36"/>
      <c r="H204" s="308"/>
      <c r="I204" s="309"/>
      <c r="J204" s="310"/>
      <c r="K204" s="38"/>
      <c r="L204" s="88"/>
    </row>
    <row r="205" spans="1:14">
      <c r="A205" s="1854"/>
      <c r="B205" s="1855"/>
      <c r="C205" s="73">
        <v>2017</v>
      </c>
      <c r="D205" s="37"/>
      <c r="E205" s="38"/>
      <c r="F205" s="38"/>
      <c r="G205" s="36"/>
      <c r="H205" s="308"/>
      <c r="I205" s="309"/>
      <c r="J205" s="310"/>
      <c r="K205" s="38"/>
      <c r="L205" s="88"/>
    </row>
    <row r="206" spans="1:14">
      <c r="A206" s="1854"/>
      <c r="B206" s="1855"/>
      <c r="C206" s="73">
        <v>2018</v>
      </c>
      <c r="D206" s="37"/>
      <c r="E206" s="38"/>
      <c r="F206" s="38"/>
      <c r="G206" s="36"/>
      <c r="H206" s="308"/>
      <c r="I206" s="309"/>
      <c r="J206" s="310"/>
      <c r="K206" s="38"/>
      <c r="L206" s="88"/>
    </row>
    <row r="207" spans="1:14">
      <c r="A207" s="1854"/>
      <c r="B207" s="1855"/>
      <c r="C207" s="73">
        <v>2019</v>
      </c>
      <c r="D207" s="37"/>
      <c r="E207" s="38"/>
      <c r="F207" s="38"/>
      <c r="G207" s="36"/>
      <c r="H207" s="308"/>
      <c r="I207" s="309"/>
      <c r="J207" s="310"/>
      <c r="K207" s="38"/>
      <c r="L207" s="88"/>
    </row>
    <row r="208" spans="1:14">
      <c r="A208" s="1854"/>
      <c r="B208" s="1855"/>
      <c r="C208" s="73">
        <v>2020</v>
      </c>
      <c r="D208" s="1533"/>
      <c r="E208" s="312"/>
      <c r="F208" s="312"/>
      <c r="G208" s="313"/>
      <c r="H208" s="314"/>
      <c r="I208" s="315"/>
      <c r="J208" s="316"/>
      <c r="K208" s="312"/>
      <c r="L208" s="317"/>
    </row>
    <row r="209" spans="1:12" ht="20.25" customHeight="1" thickBot="1">
      <c r="A209" s="1856"/>
      <c r="B209" s="1857"/>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0</v>
      </c>
      <c r="K209" s="139">
        <f t="shared" si="23"/>
        <v>0</v>
      </c>
      <c r="L209" s="139">
        <f t="shared" si="23"/>
        <v>0</v>
      </c>
    </row>
    <row r="211" spans="1:12" ht="15.75" thickBot="1"/>
    <row r="212" spans="1:12" ht="29.25">
      <c r="A212" s="571" t="s">
        <v>161</v>
      </c>
      <c r="B212" s="322" t="s">
        <v>162</v>
      </c>
      <c r="C212" s="323">
        <v>2014</v>
      </c>
      <c r="D212" s="324">
        <v>2015</v>
      </c>
      <c r="E212" s="324">
        <v>2016</v>
      </c>
      <c r="F212" s="324">
        <v>2017</v>
      </c>
      <c r="G212" s="324">
        <v>2018</v>
      </c>
      <c r="H212" s="324">
        <v>2019</v>
      </c>
      <c r="I212" s="325">
        <v>2020</v>
      </c>
    </row>
    <row r="213" spans="1:12" ht="15" customHeight="1">
      <c r="A213" t="s">
        <v>163</v>
      </c>
      <c r="B213" s="1973" t="s">
        <v>515</v>
      </c>
      <c r="C213" s="72"/>
      <c r="D213" s="135">
        <v>6482.67</v>
      </c>
      <c r="E213" s="439">
        <f>SUM(E214:E217)</f>
        <v>199206.83</v>
      </c>
      <c r="F213" s="135">
        <v>127243.63</v>
      </c>
      <c r="G213" s="135"/>
      <c r="H213" s="135"/>
      <c r="I213" s="326"/>
      <c r="J213">
        <f>SUM(D213:F213)</f>
        <v>332933.13</v>
      </c>
    </row>
    <row r="214" spans="1:12">
      <c r="A214" t="s">
        <v>164</v>
      </c>
      <c r="B214" s="1974"/>
      <c r="C214" s="72"/>
      <c r="D214" s="1715"/>
      <c r="E214" s="439">
        <v>33608.25</v>
      </c>
      <c r="F214" s="135">
        <v>4891.8500000000004</v>
      </c>
      <c r="G214" s="135"/>
      <c r="H214" s="135"/>
      <c r="I214" s="326"/>
    </row>
    <row r="215" spans="1:12">
      <c r="A215" t="s">
        <v>165</v>
      </c>
      <c r="B215" s="1974"/>
      <c r="C215" s="72"/>
      <c r="D215" s="135"/>
      <c r="E215" s="439"/>
      <c r="F215" s="135"/>
      <c r="G215" s="135"/>
      <c r="H215" s="135"/>
      <c r="I215" s="326"/>
    </row>
    <row r="216" spans="1:12">
      <c r="A216" t="s">
        <v>166</v>
      </c>
      <c r="B216" s="1974"/>
      <c r="C216" s="72"/>
      <c r="D216" s="135"/>
      <c r="E216" s="439">
        <v>9243</v>
      </c>
      <c r="F216" s="135">
        <v>17418.990000000002</v>
      </c>
      <c r="G216" s="135"/>
      <c r="H216" s="135"/>
      <c r="I216" s="326"/>
    </row>
    <row r="217" spans="1:12">
      <c r="A217" t="s">
        <v>167</v>
      </c>
      <c r="B217" s="1974"/>
      <c r="C217" s="72"/>
      <c r="D217" s="135">
        <v>6482.67</v>
      </c>
      <c r="E217" s="439">
        <v>156355.57999999999</v>
      </c>
      <c r="F217" s="135">
        <v>104932.79</v>
      </c>
      <c r="G217" s="135"/>
      <c r="H217" s="135"/>
      <c r="I217" s="326"/>
    </row>
    <row r="218" spans="1:12" ht="30">
      <c r="A218" s="56" t="s">
        <v>168</v>
      </c>
      <c r="B218" s="1974"/>
      <c r="C218" s="72"/>
      <c r="D218" s="135">
        <v>95292.09</v>
      </c>
      <c r="E218" s="135">
        <v>98994.95</v>
      </c>
      <c r="F218" s="135">
        <v>63418.13</v>
      </c>
      <c r="G218" s="135"/>
      <c r="H218" s="135"/>
      <c r="I218" s="326"/>
    </row>
    <row r="219" spans="1:12" ht="15.75" thickBot="1">
      <c r="A219" s="1532"/>
      <c r="B219" s="1975"/>
      <c r="C219" s="42" t="s">
        <v>13</v>
      </c>
      <c r="D219" s="1716">
        <f>SUM(D214:D218)</f>
        <v>101774.76</v>
      </c>
      <c r="E219" s="333">
        <f t="shared" ref="E219:I219" si="24">SUM(E214:E218)</f>
        <v>298201.77999999997</v>
      </c>
      <c r="F219" s="333">
        <f t="shared" si="24"/>
        <v>190661.76000000001</v>
      </c>
      <c r="G219" s="333">
        <f t="shared" si="24"/>
        <v>0</v>
      </c>
      <c r="H219" s="333">
        <f t="shared" si="24"/>
        <v>0</v>
      </c>
      <c r="I219" s="333">
        <f t="shared" si="24"/>
        <v>0</v>
      </c>
      <c r="J219" s="1717">
        <f>SUM(D219:I219)</f>
        <v>590638.30000000005</v>
      </c>
    </row>
    <row r="221" spans="1:12">
      <c r="A221" t="s">
        <v>516</v>
      </c>
    </row>
    <row r="223" spans="1:12">
      <c r="A223" t="s">
        <v>517</v>
      </c>
    </row>
    <row r="224" spans="1:12">
      <c r="A224" t="s">
        <v>518</v>
      </c>
    </row>
    <row r="227" spans="1:1">
      <c r="A227" s="56"/>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27"/>
  <sheetViews>
    <sheetView topLeftCell="A208" workbookViewId="0">
      <selection activeCell="E214" sqref="E214:E218"/>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519</v>
      </c>
      <c r="C1" s="1944"/>
      <c r="D1" s="1944"/>
      <c r="E1" s="1944"/>
      <c r="F1" s="1944"/>
    </row>
    <row r="2" spans="1:25" s="1" customFormat="1" ht="20.100000000000001" customHeight="1" thickBot="1"/>
    <row r="3" spans="1:25" s="4" customFormat="1" ht="20.100000000000001" customHeight="1">
      <c r="A3" s="1536" t="s">
        <v>2</v>
      </c>
      <c r="B3" s="1585"/>
      <c r="C3" s="1585"/>
      <c r="D3" s="1585"/>
      <c r="E3" s="1585"/>
      <c r="F3" s="2418"/>
      <c r="G3" s="2418"/>
      <c r="H3" s="2418"/>
      <c r="I3" s="2418"/>
      <c r="J3" s="2418"/>
      <c r="K3" s="2418"/>
      <c r="L3" s="2418"/>
      <c r="M3" s="2418"/>
      <c r="N3" s="2418"/>
      <c r="O3" s="2522"/>
    </row>
    <row r="4" spans="1:25" s="4" customFormat="1" ht="20.100000000000001" customHeight="1">
      <c r="A4" s="2420" t="s">
        <v>170</v>
      </c>
      <c r="B4" s="1948"/>
      <c r="C4" s="1948"/>
      <c r="D4" s="1948"/>
      <c r="E4" s="1948"/>
      <c r="F4" s="1948"/>
      <c r="G4" s="1948"/>
      <c r="H4" s="1948"/>
      <c r="I4" s="1948"/>
      <c r="J4" s="1948"/>
      <c r="K4" s="1948"/>
      <c r="L4" s="1948"/>
      <c r="M4" s="1948"/>
      <c r="N4" s="1948"/>
      <c r="O4" s="1949"/>
    </row>
    <row r="5" spans="1:25" s="4" customFormat="1" ht="20.100000000000001" customHeight="1">
      <c r="A5" s="2420"/>
      <c r="B5" s="1948"/>
      <c r="C5" s="1948"/>
      <c r="D5" s="1948"/>
      <c r="E5" s="1948"/>
      <c r="F5" s="1948"/>
      <c r="G5" s="1948"/>
      <c r="H5" s="1948"/>
      <c r="I5" s="1948"/>
      <c r="J5" s="1948"/>
      <c r="K5" s="1948"/>
      <c r="L5" s="1948"/>
      <c r="M5" s="1948"/>
      <c r="N5" s="1948"/>
      <c r="O5" s="1949"/>
    </row>
    <row r="6" spans="1:25" s="4" customFormat="1" ht="20.100000000000001" customHeight="1">
      <c r="A6" s="2420"/>
      <c r="B6" s="1948"/>
      <c r="C6" s="1948"/>
      <c r="D6" s="1948"/>
      <c r="E6" s="1948"/>
      <c r="F6" s="1948"/>
      <c r="G6" s="1948"/>
      <c r="H6" s="1948"/>
      <c r="I6" s="1948"/>
      <c r="J6" s="1948"/>
      <c r="K6" s="1948"/>
      <c r="L6" s="1948"/>
      <c r="M6" s="1948"/>
      <c r="N6" s="1948"/>
      <c r="O6" s="1949"/>
    </row>
    <row r="7" spans="1:25" s="4" customFormat="1" ht="20.100000000000001" customHeight="1">
      <c r="A7" s="2420"/>
      <c r="B7" s="1948"/>
      <c r="C7" s="1948"/>
      <c r="D7" s="1948"/>
      <c r="E7" s="1948"/>
      <c r="F7" s="1948"/>
      <c r="G7" s="1948"/>
      <c r="H7" s="1948"/>
      <c r="I7" s="1948"/>
      <c r="J7" s="1948"/>
      <c r="K7" s="1948"/>
      <c r="L7" s="1948"/>
      <c r="M7" s="1948"/>
      <c r="N7" s="1948"/>
      <c r="O7" s="1949"/>
    </row>
    <row r="8" spans="1:25" s="4" customFormat="1" ht="20.100000000000001" customHeight="1">
      <c r="A8" s="2420"/>
      <c r="B8" s="1948"/>
      <c r="C8" s="1948"/>
      <c r="D8" s="1948"/>
      <c r="E8" s="1948"/>
      <c r="F8" s="1948"/>
      <c r="G8" s="1948"/>
      <c r="H8" s="1948"/>
      <c r="I8" s="1948"/>
      <c r="J8" s="1948"/>
      <c r="K8" s="1948"/>
      <c r="L8" s="1948"/>
      <c r="M8" s="1948"/>
      <c r="N8" s="1948"/>
      <c r="O8" s="1949"/>
    </row>
    <row r="9" spans="1:25" s="4" customFormat="1" ht="20.100000000000001" customHeight="1">
      <c r="A9" s="2420"/>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515"/>
      <c r="B15" s="516"/>
      <c r="C15" s="10"/>
      <c r="D15" s="1953" t="s">
        <v>5</v>
      </c>
      <c r="E15" s="2012"/>
      <c r="F15" s="2012"/>
      <c r="G15" s="2012"/>
      <c r="H15" s="11"/>
      <c r="I15" s="12" t="s">
        <v>6</v>
      </c>
      <c r="J15" s="13"/>
      <c r="K15" s="13"/>
      <c r="L15" s="13"/>
      <c r="M15" s="13"/>
      <c r="N15" s="13"/>
      <c r="O15" s="14"/>
      <c r="P15" s="15"/>
      <c r="Q15" s="16"/>
      <c r="R15" s="17"/>
      <c r="S15" s="17"/>
      <c r="T15" s="17"/>
      <c r="U15" s="17"/>
      <c r="V15" s="17"/>
      <c r="W15" s="15"/>
      <c r="X15" s="15"/>
      <c r="Y15" s="16"/>
    </row>
    <row r="16" spans="1:25" s="56" customFormat="1" ht="129" customHeight="1">
      <c r="A16" s="1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2408" t="s">
        <v>520</v>
      </c>
      <c r="B17" s="1855"/>
      <c r="C17" s="29">
        <v>2014</v>
      </c>
      <c r="D17" s="30"/>
      <c r="E17" s="31"/>
      <c r="F17" s="31"/>
      <c r="G17" s="32">
        <v>0</v>
      </c>
      <c r="H17" s="33"/>
      <c r="I17" s="31"/>
      <c r="J17" s="31"/>
      <c r="K17" s="31"/>
      <c r="L17" s="31"/>
      <c r="M17" s="31"/>
      <c r="N17" s="31"/>
      <c r="O17" s="34"/>
      <c r="P17" s="35"/>
      <c r="Q17" s="35"/>
      <c r="R17" s="35"/>
      <c r="S17" s="35"/>
      <c r="T17" s="35"/>
      <c r="U17" s="35"/>
      <c r="V17" s="35"/>
      <c r="W17" s="35"/>
      <c r="X17" s="35"/>
      <c r="Y17" s="35"/>
    </row>
    <row r="18" spans="1:25">
      <c r="A18" s="2378"/>
      <c r="B18" s="1855"/>
      <c r="C18" s="36">
        <v>2015</v>
      </c>
      <c r="D18" s="37">
        <v>2</v>
      </c>
      <c r="E18" s="38"/>
      <c r="F18" s="38"/>
      <c r="G18" s="32">
        <v>2</v>
      </c>
      <c r="H18" s="39">
        <v>2</v>
      </c>
      <c r="I18" s="38"/>
      <c r="J18" s="38"/>
      <c r="K18" s="38"/>
      <c r="L18" s="38"/>
      <c r="M18" s="38"/>
      <c r="N18" s="38"/>
      <c r="O18" s="40"/>
      <c r="P18" s="35"/>
      <c r="Q18" s="35"/>
      <c r="R18" s="35"/>
      <c r="S18" s="35"/>
      <c r="T18" s="35"/>
      <c r="U18" s="35"/>
      <c r="V18" s="35"/>
      <c r="W18" s="35"/>
      <c r="X18" s="35"/>
      <c r="Y18" s="35"/>
    </row>
    <row r="19" spans="1:25">
      <c r="A19" s="2378"/>
      <c r="B19" s="1855"/>
      <c r="C19" s="36">
        <v>2016</v>
      </c>
      <c r="D19" s="37">
        <v>5</v>
      </c>
      <c r="E19" s="38">
        <v>0</v>
      </c>
      <c r="F19" s="38">
        <v>0</v>
      </c>
      <c r="G19" s="32">
        <v>5</v>
      </c>
      <c r="H19" s="39">
        <v>5</v>
      </c>
      <c r="I19" s="38"/>
      <c r="J19" s="38"/>
      <c r="K19" s="38"/>
      <c r="L19" s="38"/>
      <c r="M19" s="38"/>
      <c r="N19" s="38"/>
      <c r="O19" s="40"/>
      <c r="P19" s="35"/>
      <c r="Q19" s="35"/>
      <c r="R19" s="35"/>
      <c r="S19" s="35"/>
      <c r="T19" s="35"/>
      <c r="U19" s="35"/>
      <c r="V19" s="35"/>
      <c r="W19" s="35"/>
      <c r="X19" s="35"/>
      <c r="Y19" s="35"/>
    </row>
    <row r="20" spans="1:25">
      <c r="A20" s="2378"/>
      <c r="B20" s="1855"/>
      <c r="C20" s="36">
        <v>2017</v>
      </c>
      <c r="D20" s="37">
        <v>12</v>
      </c>
      <c r="E20" s="38"/>
      <c r="F20" s="38"/>
      <c r="G20" s="32">
        <f>SUM(D20:F20)</f>
        <v>12</v>
      </c>
      <c r="H20" s="39">
        <v>12</v>
      </c>
      <c r="I20" s="38"/>
      <c r="J20" s="38"/>
      <c r="K20" s="38"/>
      <c r="L20" s="38"/>
      <c r="M20" s="38"/>
      <c r="N20" s="38"/>
      <c r="O20" s="40"/>
      <c r="P20" s="35"/>
      <c r="Q20" s="35"/>
      <c r="R20" s="35"/>
      <c r="S20" s="35"/>
      <c r="T20" s="35"/>
      <c r="U20" s="35"/>
      <c r="V20" s="35"/>
      <c r="W20" s="35"/>
      <c r="X20" s="35"/>
      <c r="Y20" s="35"/>
    </row>
    <row r="21" spans="1:25">
      <c r="A21" s="2378"/>
      <c r="B21" s="1855"/>
      <c r="C21" s="36">
        <v>2018</v>
      </c>
      <c r="D21" s="37"/>
      <c r="E21" s="38"/>
      <c r="F21" s="38"/>
      <c r="G21" s="32">
        <v>0</v>
      </c>
      <c r="H21" s="39"/>
      <c r="I21" s="38"/>
      <c r="J21" s="38"/>
      <c r="K21" s="38"/>
      <c r="L21" s="38"/>
      <c r="M21" s="38"/>
      <c r="N21" s="38"/>
      <c r="O21" s="40"/>
      <c r="P21" s="35"/>
      <c r="Q21" s="35"/>
      <c r="R21" s="35"/>
      <c r="S21" s="35"/>
      <c r="T21" s="35"/>
      <c r="U21" s="35"/>
      <c r="V21" s="35"/>
      <c r="W21" s="35"/>
      <c r="X21" s="35"/>
      <c r="Y21" s="35"/>
    </row>
    <row r="22" spans="1:25">
      <c r="A22" s="2378"/>
      <c r="B22" s="1855"/>
      <c r="C22" s="41">
        <v>2019</v>
      </c>
      <c r="D22" s="37"/>
      <c r="E22" s="38"/>
      <c r="F22" s="38"/>
      <c r="G22" s="32">
        <v>0</v>
      </c>
      <c r="H22" s="39"/>
      <c r="I22" s="38"/>
      <c r="J22" s="38"/>
      <c r="K22" s="38"/>
      <c r="L22" s="38"/>
      <c r="M22" s="38"/>
      <c r="N22" s="38"/>
      <c r="O22" s="40"/>
      <c r="P22" s="35"/>
      <c r="Q22" s="35"/>
      <c r="R22" s="35"/>
      <c r="S22" s="35"/>
      <c r="T22" s="35"/>
      <c r="U22" s="35"/>
      <c r="V22" s="35"/>
      <c r="W22" s="35"/>
      <c r="X22" s="35"/>
      <c r="Y22" s="35"/>
    </row>
    <row r="23" spans="1:25">
      <c r="A23" s="2378"/>
      <c r="B23" s="1855"/>
      <c r="C23" s="36">
        <v>2020</v>
      </c>
      <c r="D23" s="37"/>
      <c r="E23" s="38"/>
      <c r="F23" s="38"/>
      <c r="G23" s="32">
        <v>0</v>
      </c>
      <c r="H23" s="39"/>
      <c r="I23" s="38"/>
      <c r="J23" s="38"/>
      <c r="K23" s="38"/>
      <c r="L23" s="38"/>
      <c r="M23" s="38"/>
      <c r="N23" s="38"/>
      <c r="O23" s="40"/>
      <c r="P23" s="35"/>
      <c r="Q23" s="35"/>
      <c r="R23" s="35"/>
      <c r="S23" s="35"/>
      <c r="T23" s="35"/>
      <c r="U23" s="35"/>
      <c r="V23" s="35"/>
      <c r="W23" s="35"/>
      <c r="X23" s="35"/>
      <c r="Y23" s="35"/>
    </row>
    <row r="24" spans="1:25" ht="101.25" customHeight="1" thickBot="1">
      <c r="A24" s="1856"/>
      <c r="B24" s="1857"/>
      <c r="C24" s="42" t="s">
        <v>13</v>
      </c>
      <c r="D24" s="43">
        <f>SUM(D18:D23)</f>
        <v>19</v>
      </c>
      <c r="E24" s="43">
        <f t="shared" ref="E24:O24" si="0">SUM(E18:E23)</f>
        <v>0</v>
      </c>
      <c r="F24" s="43">
        <f t="shared" si="0"/>
        <v>0</v>
      </c>
      <c r="G24" s="43">
        <f t="shared" si="0"/>
        <v>19</v>
      </c>
      <c r="H24" s="43">
        <f t="shared" si="0"/>
        <v>19</v>
      </c>
      <c r="I24" s="43">
        <f t="shared" si="0"/>
        <v>0</v>
      </c>
      <c r="J24" s="43">
        <f t="shared" si="0"/>
        <v>0</v>
      </c>
      <c r="K24" s="43">
        <f t="shared" si="0"/>
        <v>0</v>
      </c>
      <c r="L24" s="43">
        <f t="shared" si="0"/>
        <v>0</v>
      </c>
      <c r="M24" s="43">
        <f t="shared" si="0"/>
        <v>0</v>
      </c>
      <c r="N24" s="43">
        <f t="shared" si="0"/>
        <v>0</v>
      </c>
      <c r="O24" s="43">
        <f t="shared" si="0"/>
        <v>0</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515"/>
      <c r="B26" s="516"/>
      <c r="C26" s="50"/>
      <c r="D26" s="1959" t="s">
        <v>5</v>
      </c>
      <c r="E26" s="2071"/>
      <c r="F26" s="2071"/>
      <c r="G26" s="2072"/>
      <c r="H26" s="15"/>
      <c r="I26" s="16"/>
      <c r="J26" s="17"/>
      <c r="K26" s="17"/>
      <c r="L26" s="17"/>
      <c r="M26" s="17"/>
      <c r="N26" s="17"/>
      <c r="O26" s="15"/>
      <c r="P26" s="15"/>
    </row>
    <row r="27" spans="1:25" s="56" customFormat="1" ht="93" customHeight="1">
      <c r="A27" s="171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2408" t="s">
        <v>521</v>
      </c>
      <c r="B28" s="1855"/>
      <c r="C28" s="57">
        <v>2014</v>
      </c>
      <c r="D28" s="33"/>
      <c r="E28" s="31"/>
      <c r="F28" s="31"/>
      <c r="G28" s="58">
        <v>0</v>
      </c>
      <c r="H28" s="35"/>
      <c r="I28" s="35"/>
      <c r="J28" s="35"/>
      <c r="K28" s="35"/>
      <c r="L28" s="35"/>
      <c r="M28" s="35"/>
      <c r="N28" s="35"/>
      <c r="O28" s="35"/>
      <c r="P28" s="35"/>
      <c r="Q28" s="7"/>
    </row>
    <row r="29" spans="1:25">
      <c r="A29" s="2378"/>
      <c r="B29" s="1855"/>
      <c r="C29" s="59">
        <v>2015</v>
      </c>
      <c r="D29" s="39">
        <v>80</v>
      </c>
      <c r="E29" s="38"/>
      <c r="F29" s="38"/>
      <c r="G29" s="58">
        <v>0</v>
      </c>
      <c r="H29" s="35"/>
      <c r="I29" s="35"/>
      <c r="J29" s="35"/>
      <c r="K29" s="35"/>
      <c r="L29" s="35"/>
      <c r="M29" s="35"/>
      <c r="N29" s="35"/>
      <c r="O29" s="35"/>
      <c r="P29" s="35"/>
      <c r="Q29" s="7"/>
    </row>
    <row r="30" spans="1:25">
      <c r="A30" s="2378"/>
      <c r="B30" s="1855"/>
      <c r="C30" s="59">
        <v>2016</v>
      </c>
      <c r="D30" s="433">
        <v>1000</v>
      </c>
      <c r="E30" s="38"/>
      <c r="F30" s="38"/>
      <c r="G30" s="58">
        <v>1000</v>
      </c>
      <c r="H30" s="35"/>
      <c r="I30" s="35"/>
      <c r="J30" s="35"/>
      <c r="K30" s="35"/>
      <c r="L30" s="35"/>
      <c r="M30" s="35"/>
      <c r="N30" s="35"/>
      <c r="O30" s="35"/>
      <c r="P30" s="35"/>
      <c r="Q30" s="7"/>
    </row>
    <row r="31" spans="1:25">
      <c r="A31" s="2378"/>
      <c r="B31" s="1855"/>
      <c r="C31" s="59">
        <v>2017</v>
      </c>
      <c r="D31" s="39">
        <v>9502</v>
      </c>
      <c r="E31" s="38"/>
      <c r="F31" s="38"/>
      <c r="G31" s="58">
        <v>5007</v>
      </c>
      <c r="H31" s="35"/>
      <c r="I31" s="35"/>
      <c r="J31" s="35"/>
      <c r="K31" s="35"/>
      <c r="L31" s="35"/>
      <c r="M31" s="35"/>
      <c r="N31" s="35"/>
      <c r="O31" s="35"/>
      <c r="P31" s="35"/>
      <c r="Q31" s="7"/>
    </row>
    <row r="32" spans="1:25">
      <c r="A32" s="2378"/>
      <c r="B32" s="1855"/>
      <c r="C32" s="59">
        <v>2018</v>
      </c>
      <c r="D32" s="39"/>
      <c r="E32" s="38"/>
      <c r="F32" s="38"/>
      <c r="G32" s="58">
        <v>0</v>
      </c>
      <c r="H32" s="35"/>
      <c r="I32" s="35"/>
      <c r="J32" s="35"/>
      <c r="K32" s="35"/>
      <c r="L32" s="35"/>
      <c r="M32" s="35"/>
      <c r="N32" s="35"/>
      <c r="O32" s="35"/>
      <c r="P32" s="35"/>
      <c r="Q32" s="7"/>
    </row>
    <row r="33" spans="1:17">
      <c r="A33" s="2378"/>
      <c r="B33" s="1855"/>
      <c r="C33" s="60">
        <v>2019</v>
      </c>
      <c r="D33" s="39"/>
      <c r="E33" s="38"/>
      <c r="F33" s="38"/>
      <c r="G33" s="58">
        <v>0</v>
      </c>
      <c r="H33" s="35"/>
      <c r="I33" s="35"/>
      <c r="J33" s="35"/>
      <c r="K33" s="35"/>
      <c r="L33" s="35"/>
      <c r="M33" s="35"/>
      <c r="N33" s="35"/>
      <c r="O33" s="35"/>
      <c r="P33" s="35"/>
      <c r="Q33" s="7"/>
    </row>
    <row r="34" spans="1:17">
      <c r="A34" s="2378"/>
      <c r="B34" s="1855"/>
      <c r="C34" s="59">
        <v>2020</v>
      </c>
      <c r="D34" s="39"/>
      <c r="E34" s="38"/>
      <c r="F34" s="38"/>
      <c r="G34" s="58">
        <v>0</v>
      </c>
      <c r="H34" s="35"/>
      <c r="I34" s="35"/>
      <c r="J34" s="35"/>
      <c r="K34" s="35"/>
      <c r="L34" s="35"/>
      <c r="M34" s="35"/>
      <c r="N34" s="35"/>
      <c r="O34" s="35"/>
      <c r="P34" s="35"/>
      <c r="Q34" s="7"/>
    </row>
    <row r="35" spans="1:17" ht="195" customHeight="1" thickBot="1">
      <c r="A35" s="1856"/>
      <c r="B35" s="1857"/>
      <c r="C35" s="61" t="s">
        <v>13</v>
      </c>
      <c r="D35" s="46">
        <f>SUM(D29:D34)</f>
        <v>10582</v>
      </c>
      <c r="E35" s="46">
        <f t="shared" ref="E35:G35" si="1">SUM(E29:E34)</f>
        <v>0</v>
      </c>
      <c r="F35" s="46">
        <f t="shared" si="1"/>
        <v>0</v>
      </c>
      <c r="G35" s="46">
        <f t="shared" si="1"/>
        <v>6007</v>
      </c>
      <c r="H35" s="35"/>
      <c r="I35" s="35"/>
      <c r="J35" s="35"/>
      <c r="K35" s="35"/>
      <c r="L35" s="35"/>
      <c r="M35" s="35"/>
      <c r="N35" s="35"/>
      <c r="O35" s="35"/>
      <c r="P35" s="35"/>
      <c r="Q35" s="7"/>
    </row>
    <row r="36" spans="1:17">
      <c r="A36" s="1535"/>
      <c r="B36" s="1535"/>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535" t="s">
        <v>26</v>
      </c>
      <c r="B39" s="536" t="s">
        <v>171</v>
      </c>
      <c r="C39" s="68" t="s">
        <v>9</v>
      </c>
      <c r="D39" s="69" t="s">
        <v>28</v>
      </c>
      <c r="E39" s="70" t="s">
        <v>29</v>
      </c>
      <c r="F39" s="71"/>
      <c r="G39" s="28"/>
      <c r="H39" s="28"/>
    </row>
    <row r="40" spans="1:17">
      <c r="A40" s="2408" t="s">
        <v>522</v>
      </c>
      <c r="B40" s="1855"/>
      <c r="C40" s="72">
        <v>2014</v>
      </c>
      <c r="D40" s="30"/>
      <c r="E40" s="29"/>
      <c r="F40" s="7"/>
      <c r="G40" s="35"/>
      <c r="H40" s="35"/>
    </row>
    <row r="41" spans="1:17">
      <c r="A41" s="2378"/>
      <c r="B41" s="1855"/>
      <c r="C41" s="73">
        <v>2015</v>
      </c>
      <c r="D41" s="37"/>
      <c r="E41" s="36"/>
      <c r="F41" s="7"/>
      <c r="G41" s="35"/>
      <c r="H41" s="35"/>
    </row>
    <row r="42" spans="1:17">
      <c r="A42" s="2378"/>
      <c r="B42" s="1855"/>
      <c r="C42" s="73">
        <v>2016</v>
      </c>
      <c r="D42" s="74">
        <v>1788</v>
      </c>
      <c r="E42" s="36">
        <v>1234</v>
      </c>
      <c r="F42" s="7"/>
      <c r="G42" s="35"/>
      <c r="H42" s="35"/>
    </row>
    <row r="43" spans="1:17">
      <c r="A43" s="2378"/>
      <c r="B43" s="1855"/>
      <c r="C43" s="73">
        <v>2017</v>
      </c>
      <c r="D43" s="37">
        <v>23324</v>
      </c>
      <c r="E43" s="36">
        <v>3883</v>
      </c>
      <c r="F43" s="7"/>
      <c r="G43" s="35"/>
      <c r="H43" s="35"/>
    </row>
    <row r="44" spans="1:17">
      <c r="A44" s="2378"/>
      <c r="B44" s="1855"/>
      <c r="C44" s="73">
        <v>2018</v>
      </c>
      <c r="D44" s="37"/>
      <c r="E44" s="36"/>
      <c r="F44" s="7"/>
      <c r="G44" s="35"/>
      <c r="H44" s="35"/>
    </row>
    <row r="45" spans="1:17">
      <c r="A45" s="2378"/>
      <c r="B45" s="1855"/>
      <c r="C45" s="73">
        <v>2019</v>
      </c>
      <c r="D45" s="37"/>
      <c r="E45" s="36"/>
      <c r="F45" s="7"/>
      <c r="G45" s="35"/>
      <c r="H45" s="35"/>
    </row>
    <row r="46" spans="1:17">
      <c r="A46" s="2378"/>
      <c r="B46" s="1855"/>
      <c r="C46" s="73">
        <v>2020</v>
      </c>
      <c r="D46" s="37"/>
      <c r="E46" s="36"/>
      <c r="F46" s="7"/>
      <c r="G46" s="35"/>
      <c r="H46" s="35"/>
    </row>
    <row r="47" spans="1:17" ht="15.75" thickBot="1">
      <c r="A47" s="1856"/>
      <c r="B47" s="1857"/>
      <c r="C47" s="42" t="s">
        <v>13</v>
      </c>
      <c r="D47" s="43">
        <f>SUM(D41:D46)</f>
        <v>25112</v>
      </c>
      <c r="E47" s="43">
        <f>SUM(E41:E46)</f>
        <v>5117</v>
      </c>
      <c r="F47" s="78"/>
      <c r="G47" s="35"/>
      <c r="H47" s="35"/>
    </row>
    <row r="48" spans="1:17" s="35" customFormat="1" ht="15.75" thickBot="1">
      <c r="A48" s="539"/>
      <c r="B48" s="80"/>
      <c r="C48" s="81"/>
    </row>
    <row r="49" spans="1:15" ht="83.25" customHeight="1">
      <c r="A49" s="82" t="s">
        <v>32</v>
      </c>
      <c r="B49" s="536" t="s">
        <v>171</v>
      </c>
      <c r="C49" s="84" t="s">
        <v>9</v>
      </c>
      <c r="D49" s="69" t="s">
        <v>34</v>
      </c>
      <c r="E49" s="85" t="s">
        <v>35</v>
      </c>
      <c r="F49" s="85" t="s">
        <v>36</v>
      </c>
      <c r="G49" s="85" t="s">
        <v>37</v>
      </c>
      <c r="H49" s="85" t="s">
        <v>38</v>
      </c>
      <c r="I49" s="85" t="s">
        <v>39</v>
      </c>
      <c r="J49" s="85" t="s">
        <v>40</v>
      </c>
      <c r="K49" s="86" t="s">
        <v>41</v>
      </c>
    </row>
    <row r="50" spans="1:15" ht="17.25" customHeight="1">
      <c r="A50" s="1872"/>
      <c r="B50" s="1879"/>
      <c r="C50" s="87" t="s">
        <v>43</v>
      </c>
      <c r="D50" s="30"/>
      <c r="E50" s="31"/>
      <c r="F50" s="31"/>
      <c r="G50" s="31"/>
      <c r="H50" s="31"/>
      <c r="I50" s="31"/>
      <c r="J50" s="31"/>
      <c r="K50" s="34"/>
    </row>
    <row r="51" spans="1:15" ht="15" customHeight="1">
      <c r="A51" s="2408"/>
      <c r="B51" s="1881"/>
      <c r="C51" s="73">
        <v>2014</v>
      </c>
      <c r="D51" s="37"/>
      <c r="E51" s="38"/>
      <c r="F51" s="38"/>
      <c r="G51" s="38"/>
      <c r="H51" s="38"/>
      <c r="I51" s="38"/>
      <c r="J51" s="38"/>
      <c r="K51" s="88"/>
    </row>
    <row r="52" spans="1:15">
      <c r="A52" s="2408"/>
      <c r="B52" s="1881"/>
      <c r="C52" s="73">
        <v>2015</v>
      </c>
      <c r="D52" s="37"/>
      <c r="E52" s="38"/>
      <c r="F52" s="38"/>
      <c r="G52" s="38"/>
      <c r="H52" s="38"/>
      <c r="I52" s="38"/>
      <c r="J52" s="38"/>
      <c r="K52" s="88"/>
    </row>
    <row r="53" spans="1:15">
      <c r="A53" s="2408"/>
      <c r="B53" s="1881"/>
      <c r="C53" s="73">
        <v>2016</v>
      </c>
      <c r="D53" s="37"/>
      <c r="E53" s="38"/>
      <c r="F53" s="38"/>
      <c r="G53" s="38"/>
      <c r="H53" s="38"/>
      <c r="I53" s="38"/>
      <c r="J53" s="38"/>
      <c r="K53" s="88"/>
    </row>
    <row r="54" spans="1:15">
      <c r="A54" s="2408"/>
      <c r="B54" s="1881"/>
      <c r="C54" s="73">
        <v>2017</v>
      </c>
      <c r="D54" s="37"/>
      <c r="E54" s="38"/>
      <c r="F54" s="38"/>
      <c r="G54" s="38"/>
      <c r="H54" s="38"/>
      <c r="I54" s="38"/>
      <c r="J54" s="38"/>
      <c r="K54" s="88"/>
    </row>
    <row r="55" spans="1:15">
      <c r="A55" s="2408"/>
      <c r="B55" s="1881"/>
      <c r="C55" s="73">
        <v>2018</v>
      </c>
      <c r="D55" s="37"/>
      <c r="E55" s="38"/>
      <c r="F55" s="38"/>
      <c r="G55" s="38"/>
      <c r="H55" s="38"/>
      <c r="I55" s="38"/>
      <c r="J55" s="38"/>
      <c r="K55" s="88"/>
    </row>
    <row r="56" spans="1:15">
      <c r="A56" s="2408"/>
      <c r="B56" s="1881"/>
      <c r="C56" s="73">
        <v>2019</v>
      </c>
      <c r="D56" s="37"/>
      <c r="E56" s="38"/>
      <c r="F56" s="38"/>
      <c r="G56" s="38"/>
      <c r="H56" s="38"/>
      <c r="I56" s="38"/>
      <c r="J56" s="38"/>
      <c r="K56" s="88"/>
    </row>
    <row r="57" spans="1:15">
      <c r="A57" s="2408"/>
      <c r="B57" s="1881"/>
      <c r="C57" s="73">
        <v>2020</v>
      </c>
      <c r="D57" s="37"/>
      <c r="E57" s="38"/>
      <c r="F57" s="38"/>
      <c r="G57" s="38"/>
      <c r="H57" s="38"/>
      <c r="I57" s="38"/>
      <c r="J57" s="38"/>
      <c r="K57" s="93"/>
    </row>
    <row r="58" spans="1:15" ht="20.25" customHeight="1" thickBot="1">
      <c r="A58" s="1876"/>
      <c r="B58" s="1883"/>
      <c r="C58" s="42" t="s">
        <v>13</v>
      </c>
      <c r="D58" s="43">
        <v>0</v>
      </c>
      <c r="E58" s="44">
        <v>0</v>
      </c>
      <c r="F58" s="44">
        <v>0</v>
      </c>
      <c r="G58" s="44">
        <v>0</v>
      </c>
      <c r="H58" s="44">
        <v>0</v>
      </c>
      <c r="I58" s="44">
        <v>0</v>
      </c>
      <c r="J58" s="44">
        <v>0</v>
      </c>
      <c r="K58" s="48">
        <v>0</v>
      </c>
    </row>
    <row r="59" spans="1:15" ht="15.75" thickBot="1"/>
    <row r="60" spans="1:15" ht="21" customHeight="1">
      <c r="A60" s="2073" t="s">
        <v>44</v>
      </c>
      <c r="B60" s="540"/>
      <c r="C60" s="2074" t="s">
        <v>9</v>
      </c>
      <c r="D60" s="2417" t="s">
        <v>45</v>
      </c>
      <c r="E60" s="96" t="s">
        <v>6</v>
      </c>
      <c r="F60" s="541"/>
      <c r="G60" s="541"/>
      <c r="H60" s="541"/>
      <c r="I60" s="541"/>
      <c r="J60" s="541"/>
      <c r="K60" s="541"/>
      <c r="L60" s="542"/>
    </row>
    <row r="61" spans="1:15" ht="115.5" customHeight="1">
      <c r="A61" s="1970"/>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2399" t="s">
        <v>523</v>
      </c>
      <c r="B62" s="1899"/>
      <c r="C62" s="106">
        <v>2014</v>
      </c>
      <c r="D62" s="107"/>
      <c r="E62" s="108"/>
      <c r="F62" s="109"/>
      <c r="G62" s="109"/>
      <c r="H62" s="109"/>
      <c r="I62" s="109"/>
      <c r="J62" s="109"/>
      <c r="K62" s="109"/>
      <c r="L62" s="34"/>
      <c r="M62" s="7"/>
      <c r="N62" s="7"/>
      <c r="O62" s="7"/>
    </row>
    <row r="63" spans="1:15">
      <c r="A63" s="2395"/>
      <c r="B63" s="1899"/>
      <c r="C63" s="110">
        <v>2015</v>
      </c>
      <c r="D63" s="111"/>
      <c r="E63" s="112"/>
      <c r="F63" s="38"/>
      <c r="G63" s="38"/>
      <c r="H63" s="38"/>
      <c r="I63" s="38"/>
      <c r="J63" s="38"/>
      <c r="K63" s="38"/>
      <c r="L63" s="88"/>
      <c r="M63" s="7"/>
      <c r="N63" s="7"/>
      <c r="O63" s="7"/>
    </row>
    <row r="64" spans="1:15">
      <c r="A64" s="2395"/>
      <c r="B64" s="1899"/>
      <c r="C64" s="110">
        <v>2016</v>
      </c>
      <c r="D64" s="1719">
        <v>24</v>
      </c>
      <c r="E64" s="1720">
        <v>24</v>
      </c>
      <c r="F64" s="38"/>
      <c r="G64" s="38"/>
      <c r="H64" s="38"/>
      <c r="I64" s="38"/>
      <c r="J64" s="38"/>
      <c r="K64" s="38"/>
      <c r="L64" s="88"/>
      <c r="M64" s="7"/>
      <c r="N64" s="7"/>
      <c r="O64" s="7"/>
    </row>
    <row r="65" spans="1:20">
      <c r="A65" s="2395"/>
      <c r="B65" s="1899"/>
      <c r="C65" s="110">
        <v>2017</v>
      </c>
      <c r="D65" s="111">
        <v>39</v>
      </c>
      <c r="E65" s="112">
        <v>39</v>
      </c>
      <c r="F65" s="38"/>
      <c r="G65" s="38"/>
      <c r="H65" s="38"/>
      <c r="I65" s="38"/>
      <c r="J65" s="38"/>
      <c r="K65" s="38"/>
      <c r="L65" s="88"/>
      <c r="M65" s="7"/>
      <c r="N65" s="7"/>
      <c r="O65" s="7"/>
    </row>
    <row r="66" spans="1:20">
      <c r="A66" s="2395"/>
      <c r="B66" s="1899"/>
      <c r="C66" s="110">
        <v>2018</v>
      </c>
      <c r="D66" s="111"/>
      <c r="E66" s="112"/>
      <c r="F66" s="38"/>
      <c r="G66" s="38"/>
      <c r="H66" s="38"/>
      <c r="I66" s="38"/>
      <c r="J66" s="38"/>
      <c r="K66" s="38"/>
      <c r="L66" s="88"/>
      <c r="M66" s="7"/>
      <c r="N66" s="7"/>
      <c r="O66" s="7"/>
    </row>
    <row r="67" spans="1:20" ht="17.25" customHeight="1">
      <c r="A67" s="2395"/>
      <c r="B67" s="1899"/>
      <c r="C67" s="110">
        <v>2019</v>
      </c>
      <c r="D67" s="111"/>
      <c r="E67" s="112"/>
      <c r="F67" s="38"/>
      <c r="G67" s="38"/>
      <c r="H67" s="38"/>
      <c r="I67" s="38"/>
      <c r="J67" s="38"/>
      <c r="K67" s="38"/>
      <c r="L67" s="88"/>
      <c r="M67" s="7"/>
      <c r="N67" s="7"/>
      <c r="O67" s="7"/>
    </row>
    <row r="68" spans="1:20" ht="16.5" customHeight="1">
      <c r="A68" s="2395"/>
      <c r="B68" s="1899"/>
      <c r="C68" s="110">
        <v>2020</v>
      </c>
      <c r="D68" s="111"/>
      <c r="E68" s="112"/>
      <c r="F68" s="38"/>
      <c r="G68" s="38"/>
      <c r="H68" s="38"/>
      <c r="I68" s="38"/>
      <c r="J68" s="38"/>
      <c r="K68" s="38"/>
      <c r="L68" s="88"/>
      <c r="M68" s="78"/>
      <c r="N68" s="78"/>
      <c r="O68" s="78"/>
    </row>
    <row r="69" spans="1:20" ht="18" customHeight="1" thickBot="1">
      <c r="A69" s="1980"/>
      <c r="B69" s="1900"/>
      <c r="C69" s="113" t="s">
        <v>13</v>
      </c>
      <c r="D69" s="114">
        <f>SUM(D63:D68)</f>
        <v>63</v>
      </c>
      <c r="E69" s="114">
        <f t="shared" ref="E69:L69" si="2">SUM(E63:E68)</f>
        <v>63</v>
      </c>
      <c r="F69" s="114">
        <f t="shared" si="2"/>
        <v>0</v>
      </c>
      <c r="G69" s="114">
        <f t="shared" si="2"/>
        <v>0</v>
      </c>
      <c r="H69" s="114">
        <f t="shared" si="2"/>
        <v>0</v>
      </c>
      <c r="I69" s="114">
        <f t="shared" si="2"/>
        <v>0</v>
      </c>
      <c r="J69" s="114">
        <f t="shared" si="2"/>
        <v>0</v>
      </c>
      <c r="K69" s="114">
        <f t="shared" si="2"/>
        <v>0</v>
      </c>
      <c r="L69" s="114">
        <f t="shared" si="2"/>
        <v>0</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535" t="s">
        <v>47</v>
      </c>
      <c r="B71" s="536"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2408" t="s">
        <v>524</v>
      </c>
      <c r="B72" s="1899"/>
      <c r="C72" s="72">
        <v>2014</v>
      </c>
      <c r="D72" s="131"/>
      <c r="E72" s="131"/>
      <c r="F72" s="131"/>
      <c r="G72" s="132">
        <v>0</v>
      </c>
      <c r="H72" s="30"/>
      <c r="I72" s="133"/>
      <c r="J72" s="109"/>
      <c r="K72" s="109"/>
      <c r="L72" s="109"/>
      <c r="M72" s="109"/>
      <c r="N72" s="109"/>
      <c r="O72" s="134"/>
    </row>
    <row r="73" spans="1:20">
      <c r="A73" s="2378"/>
      <c r="B73" s="1899"/>
      <c r="C73" s="73">
        <v>2015</v>
      </c>
      <c r="D73" s="135"/>
      <c r="E73" s="135"/>
      <c r="F73" s="135"/>
      <c r="G73" s="132">
        <v>0</v>
      </c>
      <c r="H73" s="37"/>
      <c r="I73" s="37"/>
      <c r="J73" s="38"/>
      <c r="K73" s="38"/>
      <c r="L73" s="38"/>
      <c r="M73" s="38"/>
      <c r="N73" s="38"/>
      <c r="O73" s="88"/>
    </row>
    <row r="74" spans="1:20">
      <c r="A74" s="2378"/>
      <c r="B74" s="1899"/>
      <c r="C74" s="73">
        <v>2016</v>
      </c>
      <c r="D74" s="135"/>
      <c r="E74" s="135"/>
      <c r="F74" s="135"/>
      <c r="G74" s="132">
        <v>0</v>
      </c>
      <c r="H74" s="37"/>
      <c r="I74" s="37"/>
      <c r="J74" s="38"/>
      <c r="K74" s="38"/>
      <c r="L74" s="38"/>
      <c r="M74" s="38"/>
      <c r="N74" s="38"/>
      <c r="O74" s="88"/>
    </row>
    <row r="75" spans="1:20">
      <c r="A75" s="2378"/>
      <c r="B75" s="1899"/>
      <c r="C75" s="73">
        <v>2017</v>
      </c>
      <c r="D75" s="135">
        <v>1</v>
      </c>
      <c r="E75" s="135"/>
      <c r="F75" s="135"/>
      <c r="G75" s="132">
        <v>0</v>
      </c>
      <c r="H75" s="37">
        <v>1</v>
      </c>
      <c r="I75" s="37"/>
      <c r="J75" s="38"/>
      <c r="K75" s="38"/>
      <c r="L75" s="38"/>
      <c r="M75" s="38"/>
      <c r="N75" s="38"/>
      <c r="O75" s="88"/>
    </row>
    <row r="76" spans="1:20">
      <c r="A76" s="2378"/>
      <c r="B76" s="1899"/>
      <c r="C76" s="73">
        <v>2018</v>
      </c>
      <c r="D76" s="135"/>
      <c r="E76" s="135"/>
      <c r="F76" s="135"/>
      <c r="G76" s="132">
        <v>0</v>
      </c>
      <c r="H76" s="37"/>
      <c r="I76" s="37"/>
      <c r="J76" s="38"/>
      <c r="K76" s="38"/>
      <c r="L76" s="38"/>
      <c r="M76" s="38"/>
      <c r="N76" s="38"/>
      <c r="O76" s="88"/>
    </row>
    <row r="77" spans="1:20" ht="15.75" customHeight="1">
      <c r="A77" s="2378"/>
      <c r="B77" s="1899"/>
      <c r="C77" s="73">
        <v>2019</v>
      </c>
      <c r="D77" s="135"/>
      <c r="E77" s="135"/>
      <c r="F77" s="135"/>
      <c r="G77" s="132">
        <v>0</v>
      </c>
      <c r="H77" s="37"/>
      <c r="I77" s="37"/>
      <c r="J77" s="38"/>
      <c r="K77" s="38"/>
      <c r="L77" s="38"/>
      <c r="M77" s="38"/>
      <c r="N77" s="38"/>
      <c r="O77" s="88"/>
    </row>
    <row r="78" spans="1:20" ht="17.25" customHeight="1">
      <c r="A78" s="2378"/>
      <c r="B78" s="1899"/>
      <c r="C78" s="73">
        <v>2020</v>
      </c>
      <c r="D78" s="135"/>
      <c r="E78" s="135"/>
      <c r="F78" s="135"/>
      <c r="G78" s="132">
        <v>0</v>
      </c>
      <c r="H78" s="37"/>
      <c r="I78" s="37"/>
      <c r="J78" s="38"/>
      <c r="K78" s="38"/>
      <c r="L78" s="38"/>
      <c r="M78" s="38"/>
      <c r="N78" s="38"/>
      <c r="O78" s="88"/>
    </row>
    <row r="79" spans="1:20" ht="20.25" customHeight="1" thickBot="1">
      <c r="A79" s="1980"/>
      <c r="B79" s="1900"/>
      <c r="C79" s="136" t="s">
        <v>13</v>
      </c>
      <c r="D79" s="114">
        <v>0</v>
      </c>
      <c r="E79" s="114">
        <v>0</v>
      </c>
      <c r="F79" s="114">
        <v>0</v>
      </c>
      <c r="G79" s="137">
        <v>0</v>
      </c>
      <c r="H79" s="138">
        <v>0</v>
      </c>
      <c r="I79" s="139">
        <v>0</v>
      </c>
      <c r="J79" s="116">
        <v>0</v>
      </c>
      <c r="K79" s="116">
        <v>0</v>
      </c>
      <c r="L79" s="116">
        <v>0</v>
      </c>
      <c r="M79" s="116">
        <v>0</v>
      </c>
      <c r="N79" s="116">
        <v>0</v>
      </c>
      <c r="O79" s="117">
        <v>0</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547" t="s">
        <v>56</v>
      </c>
      <c r="B84" s="548" t="s">
        <v>178</v>
      </c>
      <c r="C84" s="149" t="s">
        <v>9</v>
      </c>
      <c r="D84" s="150" t="s">
        <v>58</v>
      </c>
      <c r="E84" s="151" t="s">
        <v>59</v>
      </c>
      <c r="F84" s="152" t="s">
        <v>60</v>
      </c>
      <c r="G84" s="152" t="s">
        <v>61</v>
      </c>
      <c r="H84" s="152" t="s">
        <v>62</v>
      </c>
      <c r="I84" s="152" t="s">
        <v>63</v>
      </c>
      <c r="J84" s="152" t="s">
        <v>64</v>
      </c>
      <c r="K84" s="153" t="s">
        <v>65</v>
      </c>
    </row>
    <row r="85" spans="1:16" ht="15" customHeight="1">
      <c r="A85" s="2643"/>
      <c r="B85" s="1899"/>
      <c r="C85" s="72">
        <v>2014</v>
      </c>
      <c r="D85" s="154"/>
      <c r="E85" s="155"/>
      <c r="F85" s="31"/>
      <c r="G85" s="31"/>
      <c r="H85" s="31"/>
      <c r="I85" s="31"/>
      <c r="J85" s="31"/>
      <c r="K85" s="34"/>
    </row>
    <row r="86" spans="1:16">
      <c r="A86" s="2416"/>
      <c r="B86" s="1899"/>
      <c r="C86" s="73">
        <v>2015</v>
      </c>
      <c r="D86" s="156"/>
      <c r="E86" s="112"/>
      <c r="F86" s="38"/>
      <c r="G86" s="38"/>
      <c r="H86" s="38"/>
      <c r="I86" s="38"/>
      <c r="J86" s="38"/>
      <c r="K86" s="88"/>
    </row>
    <row r="87" spans="1:16">
      <c r="A87" s="2416"/>
      <c r="B87" s="1899"/>
      <c r="C87" s="73">
        <v>2016</v>
      </c>
      <c r="D87" s="156"/>
      <c r="E87" s="112"/>
      <c r="F87" s="38"/>
      <c r="G87" s="38"/>
      <c r="H87" s="38"/>
      <c r="I87" s="38"/>
      <c r="J87" s="38"/>
      <c r="K87" s="88"/>
    </row>
    <row r="88" spans="1:16">
      <c r="A88" s="2416"/>
      <c r="B88" s="1899"/>
      <c r="C88" s="73">
        <v>2017</v>
      </c>
      <c r="D88" s="156"/>
      <c r="E88" s="112"/>
      <c r="F88" s="38"/>
      <c r="G88" s="38"/>
      <c r="H88" s="38"/>
      <c r="I88" s="38"/>
      <c r="J88" s="38"/>
      <c r="K88" s="88"/>
    </row>
    <row r="89" spans="1:16">
      <c r="A89" s="2416"/>
      <c r="B89" s="1899"/>
      <c r="C89" s="73">
        <v>2018</v>
      </c>
      <c r="D89" s="156"/>
      <c r="E89" s="112"/>
      <c r="F89" s="38"/>
      <c r="G89" s="38"/>
      <c r="H89" s="38"/>
      <c r="I89" s="38"/>
      <c r="J89" s="38"/>
      <c r="K89" s="88"/>
    </row>
    <row r="90" spans="1:16">
      <c r="A90" s="2416"/>
      <c r="B90" s="1899"/>
      <c r="C90" s="73">
        <v>2019</v>
      </c>
      <c r="D90" s="156"/>
      <c r="E90" s="112"/>
      <c r="F90" s="38"/>
      <c r="G90" s="38"/>
      <c r="H90" s="38"/>
      <c r="I90" s="38"/>
      <c r="J90" s="38"/>
      <c r="K90" s="88"/>
    </row>
    <row r="91" spans="1:16">
      <c r="A91" s="2416"/>
      <c r="B91" s="1899"/>
      <c r="C91" s="73">
        <v>2020</v>
      </c>
      <c r="D91" s="156"/>
      <c r="E91" s="112"/>
      <c r="F91" s="38"/>
      <c r="G91" s="38"/>
      <c r="H91" s="38"/>
      <c r="I91" s="38"/>
      <c r="J91" s="38"/>
      <c r="K91" s="88"/>
    </row>
    <row r="92" spans="1:16" ht="18" customHeight="1" thickBot="1">
      <c r="A92" s="1940"/>
      <c r="B92" s="1900"/>
      <c r="C92" s="136" t="s">
        <v>13</v>
      </c>
      <c r="D92" s="157">
        <v>0</v>
      </c>
      <c r="E92" s="115">
        <v>0</v>
      </c>
      <c r="F92" s="116">
        <v>0</v>
      </c>
      <c r="G92" s="116">
        <v>0</v>
      </c>
      <c r="H92" s="116">
        <v>0</v>
      </c>
      <c r="I92" s="116">
        <v>0</v>
      </c>
      <c r="J92" s="116">
        <v>0</v>
      </c>
      <c r="K92" s="117">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051" t="s">
        <v>68</v>
      </c>
      <c r="B96" s="2052" t="s">
        <v>179</v>
      </c>
      <c r="C96" s="2058" t="s">
        <v>9</v>
      </c>
      <c r="D96" s="1916" t="s">
        <v>70</v>
      </c>
      <c r="E96" s="1917"/>
      <c r="F96" s="162" t="s">
        <v>71</v>
      </c>
      <c r="G96" s="549"/>
      <c r="H96" s="549"/>
      <c r="I96" s="549"/>
      <c r="J96" s="549"/>
      <c r="K96" s="549"/>
      <c r="L96" s="549"/>
      <c r="M96" s="550"/>
      <c r="N96" s="165"/>
      <c r="O96" s="165"/>
      <c r="P96" s="165"/>
    </row>
    <row r="97" spans="1:16" ht="100.5" customHeight="1">
      <c r="A97" s="1910"/>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2399"/>
      <c r="B98" s="1899"/>
      <c r="C98" s="106">
        <v>2014</v>
      </c>
      <c r="D98" s="30"/>
      <c r="E98" s="31"/>
      <c r="F98" s="174"/>
      <c r="G98" s="175"/>
      <c r="H98" s="175"/>
      <c r="I98" s="175"/>
      <c r="J98" s="175"/>
      <c r="K98" s="175"/>
      <c r="L98" s="175"/>
      <c r="M98" s="176"/>
      <c r="N98" s="165"/>
      <c r="O98" s="165"/>
      <c r="P98" s="165"/>
    </row>
    <row r="99" spans="1:16" ht="16.5" customHeight="1">
      <c r="A99" s="2395"/>
      <c r="B99" s="1899"/>
      <c r="C99" s="110">
        <v>2015</v>
      </c>
      <c r="D99" s="37"/>
      <c r="E99" s="38"/>
      <c r="F99" s="177"/>
      <c r="G99" s="178"/>
      <c r="H99" s="178"/>
      <c r="I99" s="178"/>
      <c r="J99" s="178"/>
      <c r="K99" s="178"/>
      <c r="L99" s="178"/>
      <c r="M99" s="179"/>
      <c r="N99" s="165"/>
      <c r="O99" s="165"/>
      <c r="P99" s="165"/>
    </row>
    <row r="100" spans="1:16" ht="16.5" customHeight="1">
      <c r="A100" s="2395"/>
      <c r="B100" s="1899"/>
      <c r="C100" s="110">
        <v>2016</v>
      </c>
      <c r="D100" s="37"/>
      <c r="E100" s="38"/>
      <c r="F100" s="177"/>
      <c r="G100" s="178"/>
      <c r="H100" s="178"/>
      <c r="I100" s="178"/>
      <c r="J100" s="178"/>
      <c r="K100" s="178"/>
      <c r="L100" s="178"/>
      <c r="M100" s="179"/>
      <c r="N100" s="165"/>
      <c r="O100" s="165"/>
      <c r="P100" s="165"/>
    </row>
    <row r="101" spans="1:16" ht="16.5" customHeight="1">
      <c r="A101" s="2395"/>
      <c r="B101" s="1899"/>
      <c r="C101" s="110">
        <v>2017</v>
      </c>
      <c r="D101" s="37"/>
      <c r="E101" s="38"/>
      <c r="F101" s="177"/>
      <c r="G101" s="178"/>
      <c r="H101" s="178"/>
      <c r="I101" s="178"/>
      <c r="J101" s="178"/>
      <c r="K101" s="178"/>
      <c r="L101" s="178"/>
      <c r="M101" s="179"/>
      <c r="N101" s="165"/>
      <c r="O101" s="165"/>
      <c r="P101" s="165"/>
    </row>
    <row r="102" spans="1:16" ht="15.75" customHeight="1">
      <c r="A102" s="2395"/>
      <c r="B102" s="1899"/>
      <c r="C102" s="110">
        <v>2018</v>
      </c>
      <c r="D102" s="37"/>
      <c r="E102" s="38"/>
      <c r="F102" s="177"/>
      <c r="G102" s="178"/>
      <c r="H102" s="178"/>
      <c r="I102" s="178"/>
      <c r="J102" s="178"/>
      <c r="K102" s="178"/>
      <c r="L102" s="178"/>
      <c r="M102" s="179"/>
      <c r="N102" s="165"/>
      <c r="O102" s="165"/>
      <c r="P102" s="165"/>
    </row>
    <row r="103" spans="1:16" ht="14.25" customHeight="1">
      <c r="A103" s="2395"/>
      <c r="B103" s="1899"/>
      <c r="C103" s="110">
        <v>2019</v>
      </c>
      <c r="D103" s="37"/>
      <c r="E103" s="38"/>
      <c r="F103" s="177"/>
      <c r="G103" s="178"/>
      <c r="H103" s="178"/>
      <c r="I103" s="178"/>
      <c r="J103" s="178"/>
      <c r="K103" s="178"/>
      <c r="L103" s="178"/>
      <c r="M103" s="179"/>
      <c r="N103" s="165"/>
      <c r="O103" s="165"/>
      <c r="P103" s="165"/>
    </row>
    <row r="104" spans="1:16" ht="14.25" customHeight="1">
      <c r="A104" s="2395"/>
      <c r="B104" s="1899"/>
      <c r="C104" s="110">
        <v>2020</v>
      </c>
      <c r="D104" s="37"/>
      <c r="E104" s="38"/>
      <c r="F104" s="177"/>
      <c r="G104" s="178"/>
      <c r="H104" s="178"/>
      <c r="I104" s="178"/>
      <c r="J104" s="178"/>
      <c r="K104" s="178"/>
      <c r="L104" s="178"/>
      <c r="M104" s="179"/>
      <c r="N104" s="165"/>
      <c r="O104" s="165"/>
      <c r="P104" s="165"/>
    </row>
    <row r="105" spans="1:16" ht="19.5" customHeight="1" thickBot="1">
      <c r="A105" s="1915"/>
      <c r="B105" s="1900"/>
      <c r="C105" s="113" t="s">
        <v>13</v>
      </c>
      <c r="D105" s="139">
        <v>0</v>
      </c>
      <c r="E105" s="116">
        <v>0</v>
      </c>
      <c r="F105" s="180">
        <v>0</v>
      </c>
      <c r="G105" s="181">
        <v>0</v>
      </c>
      <c r="H105" s="181">
        <v>0</v>
      </c>
      <c r="I105" s="181">
        <v>0</v>
      </c>
      <c r="J105" s="181">
        <v>0</v>
      </c>
      <c r="K105" s="181">
        <v>0</v>
      </c>
      <c r="L105" s="181">
        <v>0</v>
      </c>
      <c r="M105" s="182">
        <v>0</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051" t="s">
        <v>77</v>
      </c>
      <c r="B107" s="2052" t="s">
        <v>179</v>
      </c>
      <c r="C107" s="2058" t="s">
        <v>9</v>
      </c>
      <c r="D107" s="2414" t="s">
        <v>78</v>
      </c>
      <c r="E107" s="162" t="s">
        <v>79</v>
      </c>
      <c r="F107" s="549"/>
      <c r="G107" s="549"/>
      <c r="H107" s="549"/>
      <c r="I107" s="549"/>
      <c r="J107" s="549"/>
      <c r="K107" s="549"/>
      <c r="L107" s="550"/>
      <c r="M107" s="185"/>
      <c r="N107" s="185"/>
    </row>
    <row r="108" spans="1:16" ht="103.5"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2399"/>
      <c r="B109" s="1899"/>
      <c r="C109" s="106">
        <v>2014</v>
      </c>
      <c r="D109" s="31"/>
      <c r="E109" s="174"/>
      <c r="F109" s="175"/>
      <c r="G109" s="175"/>
      <c r="H109" s="175"/>
      <c r="I109" s="175"/>
      <c r="J109" s="175"/>
      <c r="K109" s="175"/>
      <c r="L109" s="176"/>
      <c r="M109" s="185"/>
      <c r="N109" s="185"/>
    </row>
    <row r="110" spans="1:16">
      <c r="A110" s="2395"/>
      <c r="B110" s="1899"/>
      <c r="C110" s="110">
        <v>2015</v>
      </c>
      <c r="D110" s="38"/>
      <c r="E110" s="177"/>
      <c r="F110" s="178"/>
      <c r="G110" s="178"/>
      <c r="H110" s="178"/>
      <c r="I110" s="178"/>
      <c r="J110" s="178"/>
      <c r="K110" s="178"/>
      <c r="L110" s="179"/>
      <c r="M110" s="185"/>
      <c r="N110" s="185"/>
    </row>
    <row r="111" spans="1:16">
      <c r="A111" s="2395"/>
      <c r="B111" s="1899"/>
      <c r="C111" s="110">
        <v>2016</v>
      </c>
      <c r="D111" s="38"/>
      <c r="E111" s="177"/>
      <c r="F111" s="178"/>
      <c r="G111" s="178"/>
      <c r="H111" s="178"/>
      <c r="I111" s="178"/>
      <c r="J111" s="178"/>
      <c r="K111" s="178"/>
      <c r="L111" s="179"/>
      <c r="M111" s="185"/>
      <c r="N111" s="185"/>
    </row>
    <row r="112" spans="1:16">
      <c r="A112" s="2395"/>
      <c r="B112" s="1899"/>
      <c r="C112" s="110">
        <v>2017</v>
      </c>
      <c r="D112" s="38"/>
      <c r="E112" s="177"/>
      <c r="F112" s="178"/>
      <c r="G112" s="178"/>
      <c r="H112" s="178"/>
      <c r="I112" s="178"/>
      <c r="J112" s="178"/>
      <c r="K112" s="178"/>
      <c r="L112" s="179"/>
      <c r="M112" s="185"/>
      <c r="N112" s="185"/>
    </row>
    <row r="113" spans="1:14">
      <c r="A113" s="2395"/>
      <c r="B113" s="1899"/>
      <c r="C113" s="110">
        <v>2018</v>
      </c>
      <c r="D113" s="38"/>
      <c r="E113" s="177"/>
      <c r="F113" s="178"/>
      <c r="G113" s="178"/>
      <c r="H113" s="178"/>
      <c r="I113" s="178"/>
      <c r="J113" s="178"/>
      <c r="K113" s="178"/>
      <c r="L113" s="179"/>
      <c r="M113" s="185"/>
      <c r="N113" s="185"/>
    </row>
    <row r="114" spans="1:14">
      <c r="A114" s="2395"/>
      <c r="B114" s="1899"/>
      <c r="C114" s="110">
        <v>2019</v>
      </c>
      <c r="D114" s="38"/>
      <c r="E114" s="177"/>
      <c r="F114" s="178"/>
      <c r="G114" s="178"/>
      <c r="H114" s="178"/>
      <c r="I114" s="178"/>
      <c r="J114" s="178"/>
      <c r="K114" s="178"/>
      <c r="L114" s="179"/>
      <c r="M114" s="185"/>
      <c r="N114" s="185"/>
    </row>
    <row r="115" spans="1:14">
      <c r="A115" s="2395"/>
      <c r="B115" s="1899"/>
      <c r="C115" s="110">
        <v>2020</v>
      </c>
      <c r="D115" s="38"/>
      <c r="E115" s="177"/>
      <c r="F115" s="178"/>
      <c r="G115" s="178"/>
      <c r="H115" s="178"/>
      <c r="I115" s="178"/>
      <c r="J115" s="178"/>
      <c r="K115" s="178"/>
      <c r="L115" s="179"/>
      <c r="M115" s="185"/>
      <c r="N115" s="185"/>
    </row>
    <row r="116" spans="1:14" ht="25.5" customHeight="1" thickBot="1">
      <c r="A116" s="1915"/>
      <c r="B116" s="1900"/>
      <c r="C116" s="113" t="s">
        <v>13</v>
      </c>
      <c r="D116" s="116">
        <v>0</v>
      </c>
      <c r="E116" s="180">
        <v>0</v>
      </c>
      <c r="F116" s="181">
        <v>0</v>
      </c>
      <c r="G116" s="181">
        <v>0</v>
      </c>
      <c r="H116" s="181">
        <v>0</v>
      </c>
      <c r="I116" s="181">
        <v>0</v>
      </c>
      <c r="J116" s="181"/>
      <c r="K116" s="181">
        <v>0</v>
      </c>
      <c r="L116" s="182">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051" t="s">
        <v>81</v>
      </c>
      <c r="B118" s="2052" t="s">
        <v>179</v>
      </c>
      <c r="C118" s="2058" t="s">
        <v>9</v>
      </c>
      <c r="D118" s="2414" t="s">
        <v>82</v>
      </c>
      <c r="E118" s="162" t="s">
        <v>79</v>
      </c>
      <c r="F118" s="549"/>
      <c r="G118" s="549"/>
      <c r="H118" s="549"/>
      <c r="I118" s="549"/>
      <c r="J118" s="549"/>
      <c r="K118" s="549"/>
      <c r="L118" s="550"/>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2399"/>
      <c r="B120" s="1899"/>
      <c r="C120" s="106">
        <v>2014</v>
      </c>
      <c r="D120" s="31"/>
      <c r="E120" s="174"/>
      <c r="F120" s="175"/>
      <c r="G120" s="175"/>
      <c r="H120" s="175"/>
      <c r="I120" s="175"/>
      <c r="J120" s="175"/>
      <c r="K120" s="175"/>
      <c r="L120" s="176"/>
      <c r="M120" s="185"/>
      <c r="N120" s="185"/>
    </row>
    <row r="121" spans="1:14">
      <c r="A121" s="2395"/>
      <c r="B121" s="1899"/>
      <c r="C121" s="110">
        <v>2015</v>
      </c>
      <c r="D121" s="38"/>
      <c r="E121" s="177"/>
      <c r="F121" s="178"/>
      <c r="G121" s="178"/>
      <c r="H121" s="178"/>
      <c r="I121" s="178"/>
      <c r="J121" s="178"/>
      <c r="K121" s="178"/>
      <c r="L121" s="179"/>
      <c r="M121" s="185"/>
      <c r="N121" s="185"/>
    </row>
    <row r="122" spans="1:14">
      <c r="A122" s="2395"/>
      <c r="B122" s="1899"/>
      <c r="C122" s="110">
        <v>2016</v>
      </c>
      <c r="D122" s="38"/>
      <c r="E122" s="177"/>
      <c r="F122" s="178"/>
      <c r="G122" s="178"/>
      <c r="H122" s="178"/>
      <c r="I122" s="178"/>
      <c r="J122" s="178"/>
      <c r="K122" s="178"/>
      <c r="L122" s="179"/>
      <c r="M122" s="185"/>
      <c r="N122" s="185"/>
    </row>
    <row r="123" spans="1:14">
      <c r="A123" s="2395"/>
      <c r="B123" s="1899"/>
      <c r="C123" s="110">
        <v>2017</v>
      </c>
      <c r="D123" s="38"/>
      <c r="E123" s="177"/>
      <c r="F123" s="178"/>
      <c r="G123" s="178"/>
      <c r="H123" s="178"/>
      <c r="I123" s="178"/>
      <c r="J123" s="178"/>
      <c r="K123" s="178"/>
      <c r="L123" s="179"/>
      <c r="M123" s="185"/>
      <c r="N123" s="185"/>
    </row>
    <row r="124" spans="1:14">
      <c r="A124" s="2395"/>
      <c r="B124" s="1899"/>
      <c r="C124" s="110">
        <v>2018</v>
      </c>
      <c r="D124" s="38"/>
      <c r="E124" s="177"/>
      <c r="F124" s="178"/>
      <c r="G124" s="178"/>
      <c r="H124" s="178"/>
      <c r="I124" s="178"/>
      <c r="J124" s="178"/>
      <c r="K124" s="178"/>
      <c r="L124" s="179"/>
      <c r="M124" s="185"/>
      <c r="N124" s="185"/>
    </row>
    <row r="125" spans="1:14">
      <c r="A125" s="2395"/>
      <c r="B125" s="1899"/>
      <c r="C125" s="110">
        <v>2019</v>
      </c>
      <c r="D125" s="38"/>
      <c r="E125" s="177"/>
      <c r="F125" s="178"/>
      <c r="G125" s="178"/>
      <c r="H125" s="178"/>
      <c r="I125" s="178"/>
      <c r="J125" s="178"/>
      <c r="K125" s="178"/>
      <c r="L125" s="179"/>
      <c r="M125" s="185"/>
      <c r="N125" s="185"/>
    </row>
    <row r="126" spans="1:14">
      <c r="A126" s="2395"/>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v>0</v>
      </c>
      <c r="E127" s="180">
        <v>0</v>
      </c>
      <c r="F127" s="181">
        <v>0</v>
      </c>
      <c r="G127" s="181">
        <v>0</v>
      </c>
      <c r="H127" s="181">
        <v>0</v>
      </c>
      <c r="I127" s="181">
        <v>0</v>
      </c>
      <c r="J127" s="181"/>
      <c r="K127" s="181">
        <v>0</v>
      </c>
      <c r="L127" s="182">
        <v>0</v>
      </c>
      <c r="M127" s="185"/>
      <c r="N127" s="185"/>
    </row>
    <row r="128" spans="1:14" ht="15.75" thickBot="1">
      <c r="A128" s="183"/>
      <c r="B128" s="183"/>
      <c r="C128" s="184"/>
      <c r="D128" s="7"/>
      <c r="E128" s="7"/>
      <c r="H128" s="185"/>
      <c r="I128" s="185"/>
      <c r="J128" s="185"/>
      <c r="K128" s="185"/>
      <c r="L128" s="185"/>
      <c r="M128" s="185"/>
      <c r="N128" s="185"/>
    </row>
    <row r="129" spans="1:16" ht="15" customHeight="1">
      <c r="A129" s="2051" t="s">
        <v>84</v>
      </c>
      <c r="B129" s="2052" t="s">
        <v>179</v>
      </c>
      <c r="C129" s="1534" t="s">
        <v>9</v>
      </c>
      <c r="D129" s="189" t="s">
        <v>85</v>
      </c>
      <c r="E129" s="553"/>
      <c r="F129" s="553"/>
      <c r="G129" s="191"/>
      <c r="H129" s="185"/>
      <c r="I129" s="185"/>
      <c r="J129" s="185"/>
      <c r="K129" s="185"/>
      <c r="L129" s="185"/>
      <c r="M129" s="185"/>
      <c r="N129" s="185"/>
    </row>
    <row r="130" spans="1:16" ht="77.25" customHeight="1">
      <c r="A130" s="1910"/>
      <c r="B130" s="1912"/>
      <c r="C130" s="1528"/>
      <c r="D130" s="166" t="s">
        <v>86</v>
      </c>
      <c r="E130" s="193" t="s">
        <v>87</v>
      </c>
      <c r="F130" s="167" t="s">
        <v>88</v>
      </c>
      <c r="G130" s="194" t="s">
        <v>13</v>
      </c>
      <c r="H130" s="185"/>
      <c r="I130" s="185"/>
      <c r="J130" s="185"/>
      <c r="K130" s="185"/>
      <c r="L130" s="185"/>
      <c r="M130" s="185"/>
      <c r="N130" s="185"/>
    </row>
    <row r="131" spans="1:16" ht="15" customHeight="1">
      <c r="A131" s="2408"/>
      <c r="B131" s="1855"/>
      <c r="C131" s="106">
        <v>2015</v>
      </c>
      <c r="D131" s="30"/>
      <c r="E131" s="31"/>
      <c r="F131" s="31"/>
      <c r="G131" s="195">
        <v>0</v>
      </c>
      <c r="H131" s="185"/>
      <c r="I131" s="185"/>
      <c r="J131" s="185"/>
      <c r="K131" s="185"/>
      <c r="L131" s="185"/>
      <c r="M131" s="185"/>
      <c r="N131" s="185"/>
    </row>
    <row r="132" spans="1:16">
      <c r="A132" s="2378"/>
      <c r="B132" s="1855"/>
      <c r="C132" s="110">
        <v>2016</v>
      </c>
      <c r="D132" s="37"/>
      <c r="E132" s="38"/>
      <c r="F132" s="38"/>
      <c r="G132" s="195">
        <v>0</v>
      </c>
      <c r="H132" s="185"/>
      <c r="I132" s="185"/>
      <c r="J132" s="185"/>
      <c r="K132" s="185"/>
      <c r="L132" s="185"/>
      <c r="M132" s="185"/>
      <c r="N132" s="185"/>
    </row>
    <row r="133" spans="1:16">
      <c r="A133" s="2378"/>
      <c r="B133" s="1855"/>
      <c r="C133" s="110">
        <v>2017</v>
      </c>
      <c r="D133" s="37"/>
      <c r="E133" s="38"/>
      <c r="F133" s="38"/>
      <c r="G133" s="195">
        <v>0</v>
      </c>
      <c r="H133" s="185"/>
      <c r="I133" s="185"/>
      <c r="J133" s="185"/>
      <c r="K133" s="185"/>
      <c r="L133" s="185"/>
      <c r="M133" s="185"/>
      <c r="N133" s="185"/>
    </row>
    <row r="134" spans="1:16">
      <c r="A134" s="2378"/>
      <c r="B134" s="1855"/>
      <c r="C134" s="110">
        <v>2018</v>
      </c>
      <c r="D134" s="37"/>
      <c r="E134" s="38"/>
      <c r="F134" s="38"/>
      <c r="G134" s="195">
        <v>0</v>
      </c>
      <c r="H134" s="185"/>
      <c r="I134" s="185"/>
      <c r="J134" s="185"/>
      <c r="K134" s="185"/>
      <c r="L134" s="185"/>
      <c r="M134" s="185"/>
      <c r="N134" s="185"/>
    </row>
    <row r="135" spans="1:16">
      <c r="A135" s="2378"/>
      <c r="B135" s="1855"/>
      <c r="C135" s="110">
        <v>2019</v>
      </c>
      <c r="D135" s="37"/>
      <c r="E135" s="38"/>
      <c r="F135" s="38"/>
      <c r="G135" s="195">
        <v>0</v>
      </c>
      <c r="H135" s="185"/>
      <c r="I135" s="185"/>
      <c r="J135" s="185"/>
      <c r="K135" s="185"/>
      <c r="L135" s="185"/>
      <c r="M135" s="185"/>
      <c r="N135" s="185"/>
    </row>
    <row r="136" spans="1:16">
      <c r="A136" s="2378"/>
      <c r="B136" s="1855"/>
      <c r="C136" s="110">
        <v>2020</v>
      </c>
      <c r="D136" s="37"/>
      <c r="E136" s="38"/>
      <c r="F136" s="38"/>
      <c r="G136" s="195">
        <v>0</v>
      </c>
      <c r="H136" s="185"/>
      <c r="I136" s="185"/>
      <c r="J136" s="185"/>
      <c r="K136" s="185"/>
      <c r="L136" s="185"/>
      <c r="M136" s="185"/>
      <c r="N136" s="185"/>
    </row>
    <row r="137" spans="1:16" ht="17.25" customHeight="1" thickBot="1">
      <c r="A137" s="1856"/>
      <c r="B137" s="1857"/>
      <c r="C137" s="113" t="s">
        <v>13</v>
      </c>
      <c r="D137" s="139">
        <v>0</v>
      </c>
      <c r="E137" s="139">
        <v>0</v>
      </c>
      <c r="F137" s="139">
        <v>0</v>
      </c>
      <c r="G137" s="196">
        <v>0</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050" t="s">
        <v>91</v>
      </c>
      <c r="B142" s="2048" t="s">
        <v>179</v>
      </c>
      <c r="C142" s="2043" t="s">
        <v>9</v>
      </c>
      <c r="D142" s="554" t="s">
        <v>92</v>
      </c>
      <c r="E142" s="555"/>
      <c r="F142" s="555"/>
      <c r="G142" s="555"/>
      <c r="H142" s="555"/>
      <c r="I142" s="556"/>
      <c r="J142" s="2044" t="s">
        <v>93</v>
      </c>
      <c r="K142" s="2045"/>
      <c r="L142" s="2045"/>
      <c r="M142" s="2045"/>
      <c r="N142" s="2046"/>
      <c r="O142" s="165"/>
      <c r="P142" s="165"/>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2399"/>
      <c r="B144" s="1899"/>
      <c r="C144" s="106">
        <v>2014</v>
      </c>
      <c r="D144" s="30"/>
      <c r="E144" s="30"/>
      <c r="F144" s="31"/>
      <c r="G144" s="175"/>
      <c r="H144" s="175"/>
      <c r="I144" s="213">
        <v>0</v>
      </c>
      <c r="J144" s="214"/>
      <c r="K144" s="215"/>
      <c r="L144" s="214"/>
      <c r="M144" s="215"/>
      <c r="N144" s="216"/>
      <c r="O144" s="165"/>
      <c r="P144" s="165"/>
    </row>
    <row r="145" spans="1:16" ht="19.5" customHeight="1">
      <c r="A145" s="2395"/>
      <c r="B145" s="1899"/>
      <c r="C145" s="110">
        <v>2015</v>
      </c>
      <c r="D145" s="37"/>
      <c r="E145" s="37"/>
      <c r="F145" s="38"/>
      <c r="G145" s="178"/>
      <c r="H145" s="178"/>
      <c r="I145" s="213">
        <v>0</v>
      </c>
      <c r="J145" s="217"/>
      <c r="K145" s="218"/>
      <c r="L145" s="217"/>
      <c r="M145" s="218"/>
      <c r="N145" s="219"/>
      <c r="O145" s="165"/>
      <c r="P145" s="165"/>
    </row>
    <row r="146" spans="1:16" ht="20.25" customHeight="1">
      <c r="A146" s="2395"/>
      <c r="B146" s="1899"/>
      <c r="C146" s="110">
        <v>2016</v>
      </c>
      <c r="D146" s="37"/>
      <c r="E146" s="37"/>
      <c r="F146" s="38"/>
      <c r="G146" s="178"/>
      <c r="H146" s="178"/>
      <c r="I146" s="213">
        <v>0</v>
      </c>
      <c r="J146" s="217"/>
      <c r="K146" s="218"/>
      <c r="L146" s="217"/>
      <c r="M146" s="218"/>
      <c r="N146" s="219"/>
      <c r="O146" s="165"/>
      <c r="P146" s="165"/>
    </row>
    <row r="147" spans="1:16" ht="17.25" customHeight="1">
      <c r="A147" s="2395"/>
      <c r="B147" s="1899"/>
      <c r="C147" s="110">
        <v>2017</v>
      </c>
      <c r="D147" s="37"/>
      <c r="E147" s="37"/>
      <c r="F147" s="38"/>
      <c r="G147" s="178"/>
      <c r="H147" s="178"/>
      <c r="I147" s="213">
        <v>0</v>
      </c>
      <c r="J147" s="217"/>
      <c r="K147" s="218"/>
      <c r="L147" s="217"/>
      <c r="M147" s="218"/>
      <c r="N147" s="219"/>
      <c r="O147" s="165"/>
      <c r="P147" s="165"/>
    </row>
    <row r="148" spans="1:16" ht="19.5" customHeight="1">
      <c r="A148" s="2395"/>
      <c r="B148" s="1899"/>
      <c r="C148" s="110">
        <v>2018</v>
      </c>
      <c r="D148" s="37"/>
      <c r="E148" s="37"/>
      <c r="F148" s="38"/>
      <c r="G148" s="178"/>
      <c r="H148" s="178"/>
      <c r="I148" s="213">
        <v>0</v>
      </c>
      <c r="J148" s="217"/>
      <c r="K148" s="218"/>
      <c r="L148" s="217"/>
      <c r="M148" s="218"/>
      <c r="N148" s="219"/>
      <c r="O148" s="165"/>
      <c r="P148" s="165"/>
    </row>
    <row r="149" spans="1:16" ht="19.5" customHeight="1">
      <c r="A149" s="2395"/>
      <c r="B149" s="1899"/>
      <c r="C149" s="110">
        <v>2019</v>
      </c>
      <c r="D149" s="37"/>
      <c r="E149" s="37"/>
      <c r="F149" s="38"/>
      <c r="G149" s="178"/>
      <c r="H149" s="178"/>
      <c r="I149" s="213">
        <v>0</v>
      </c>
      <c r="J149" s="217"/>
      <c r="K149" s="218"/>
      <c r="L149" s="217"/>
      <c r="M149" s="218"/>
      <c r="N149" s="219"/>
      <c r="O149" s="165"/>
      <c r="P149" s="165"/>
    </row>
    <row r="150" spans="1:16" ht="18.75" customHeight="1">
      <c r="A150" s="2395"/>
      <c r="B150" s="1899"/>
      <c r="C150" s="110">
        <v>2020</v>
      </c>
      <c r="D150" s="37"/>
      <c r="E150" s="37"/>
      <c r="F150" s="38"/>
      <c r="G150" s="178"/>
      <c r="H150" s="178"/>
      <c r="I150" s="213">
        <v>0</v>
      </c>
      <c r="J150" s="217"/>
      <c r="K150" s="218"/>
      <c r="L150" s="217"/>
      <c r="M150" s="218"/>
      <c r="N150" s="219"/>
      <c r="O150" s="165"/>
      <c r="P150" s="165"/>
    </row>
    <row r="151" spans="1:16" ht="18" customHeight="1" thickBot="1">
      <c r="A151" s="1893"/>
      <c r="B151" s="1900"/>
      <c r="C151" s="113" t="s">
        <v>13</v>
      </c>
      <c r="D151" s="139">
        <v>0</v>
      </c>
      <c r="E151" s="139">
        <v>0</v>
      </c>
      <c r="F151" s="139">
        <v>0</v>
      </c>
      <c r="G151" s="139">
        <v>0</v>
      </c>
      <c r="H151" s="139">
        <v>0</v>
      </c>
      <c r="I151" s="220">
        <v>0</v>
      </c>
      <c r="J151" s="221">
        <v>0</v>
      </c>
      <c r="K151" s="222">
        <v>0</v>
      </c>
      <c r="L151" s="221">
        <v>0</v>
      </c>
      <c r="M151" s="222">
        <v>0</v>
      </c>
      <c r="N151" s="223">
        <v>0</v>
      </c>
      <c r="O151" s="165"/>
      <c r="P151" s="165"/>
    </row>
    <row r="152" spans="1:16" ht="27" customHeight="1" thickBot="1">
      <c r="B152" s="224"/>
      <c r="O152" s="165"/>
      <c r="P152" s="165"/>
    </row>
    <row r="153" spans="1:16" ht="35.25" customHeight="1">
      <c r="A153" s="2047" t="s">
        <v>105</v>
      </c>
      <c r="B153" s="2048" t="s">
        <v>179</v>
      </c>
      <c r="C153" s="2049" t="s">
        <v>9</v>
      </c>
      <c r="D153" s="557" t="s">
        <v>106</v>
      </c>
      <c r="E153" s="557"/>
      <c r="F153" s="558"/>
      <c r="G153" s="558"/>
      <c r="H153" s="557" t="s">
        <v>107</v>
      </c>
      <c r="I153" s="557"/>
      <c r="J153" s="559"/>
      <c r="K153" s="56"/>
      <c r="L153" s="56"/>
      <c r="M153" s="56"/>
      <c r="N153" s="56"/>
      <c r="O153" s="165"/>
      <c r="P153" s="165"/>
    </row>
    <row r="154" spans="1:16" ht="49.5" customHeight="1">
      <c r="A154" s="2401"/>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2399"/>
      <c r="B155" s="1899"/>
      <c r="C155" s="233">
        <v>2014</v>
      </c>
      <c r="D155" s="214"/>
      <c r="E155" s="175"/>
      <c r="F155" s="215"/>
      <c r="G155" s="213">
        <v>0</v>
      </c>
      <c r="H155" s="214"/>
      <c r="I155" s="175"/>
      <c r="J155" s="176"/>
      <c r="O155" s="165"/>
      <c r="P155" s="165"/>
    </row>
    <row r="156" spans="1:16" ht="19.5" customHeight="1">
      <c r="A156" s="2395"/>
      <c r="B156" s="1899"/>
      <c r="C156" s="234">
        <v>2015</v>
      </c>
      <c r="D156" s="217"/>
      <c r="E156" s="178"/>
      <c r="F156" s="218"/>
      <c r="G156" s="213">
        <v>0</v>
      </c>
      <c r="H156" s="217"/>
      <c r="I156" s="178"/>
      <c r="J156" s="179"/>
      <c r="O156" s="165"/>
      <c r="P156" s="165"/>
    </row>
    <row r="157" spans="1:16" ht="17.25" customHeight="1">
      <c r="A157" s="2395"/>
      <c r="B157" s="1899"/>
      <c r="C157" s="234">
        <v>2016</v>
      </c>
      <c r="D157" s="217"/>
      <c r="E157" s="178"/>
      <c r="F157" s="218"/>
      <c r="G157" s="213">
        <v>0</v>
      </c>
      <c r="H157" s="217"/>
      <c r="I157" s="178"/>
      <c r="J157" s="179"/>
      <c r="O157" s="165"/>
      <c r="P157" s="165"/>
    </row>
    <row r="158" spans="1:16" ht="15" customHeight="1">
      <c r="A158" s="2395"/>
      <c r="B158" s="1899"/>
      <c r="C158" s="234">
        <v>2017</v>
      </c>
      <c r="D158" s="217"/>
      <c r="E158" s="178"/>
      <c r="F158" s="218"/>
      <c r="G158" s="213">
        <v>0</v>
      </c>
      <c r="H158" s="217"/>
      <c r="I158" s="178"/>
      <c r="J158" s="179"/>
      <c r="O158" s="165"/>
      <c r="P158" s="165"/>
    </row>
    <row r="159" spans="1:16" ht="19.5" customHeight="1">
      <c r="A159" s="2395"/>
      <c r="B159" s="1899"/>
      <c r="C159" s="234">
        <v>2018</v>
      </c>
      <c r="D159" s="217"/>
      <c r="E159" s="178"/>
      <c r="F159" s="218"/>
      <c r="G159" s="213">
        <v>0</v>
      </c>
      <c r="H159" s="217"/>
      <c r="I159" s="178"/>
      <c r="J159" s="179"/>
      <c r="O159" s="165"/>
      <c r="P159" s="165"/>
    </row>
    <row r="160" spans="1:16" ht="15" customHeight="1">
      <c r="A160" s="2395"/>
      <c r="B160" s="1899"/>
      <c r="C160" s="234">
        <v>2019</v>
      </c>
      <c r="D160" s="217"/>
      <c r="E160" s="178"/>
      <c r="F160" s="218"/>
      <c r="G160" s="213">
        <v>0</v>
      </c>
      <c r="H160" s="217"/>
      <c r="I160" s="178"/>
      <c r="J160" s="179"/>
      <c r="O160" s="165"/>
      <c r="P160" s="165"/>
    </row>
    <row r="161" spans="1:18" ht="17.25" customHeight="1">
      <c r="A161" s="2395"/>
      <c r="B161" s="1899"/>
      <c r="C161" s="234">
        <v>2020</v>
      </c>
      <c r="D161" s="217"/>
      <c r="E161" s="178"/>
      <c r="F161" s="218"/>
      <c r="G161" s="213">
        <v>0</v>
      </c>
      <c r="H161" s="217"/>
      <c r="I161" s="178"/>
      <c r="J161" s="179"/>
      <c r="O161" s="165"/>
      <c r="P161" s="165"/>
    </row>
    <row r="162" spans="1:18" ht="15.75" thickBot="1">
      <c r="A162" s="1893"/>
      <c r="B162" s="1900"/>
      <c r="C162" s="235" t="s">
        <v>13</v>
      </c>
      <c r="D162" s="221">
        <v>0</v>
      </c>
      <c r="E162" s="181">
        <v>0</v>
      </c>
      <c r="F162" s="222">
        <v>0</v>
      </c>
      <c r="G162" s="222">
        <v>0</v>
      </c>
      <c r="H162" s="221">
        <v>0</v>
      </c>
      <c r="I162" s="181">
        <v>0</v>
      </c>
      <c r="J162" s="236">
        <v>0</v>
      </c>
    </row>
    <row r="163" spans="1:18" ht="24.75" customHeight="1" thickBot="1">
      <c r="A163" s="237"/>
      <c r="B163" s="238"/>
      <c r="C163" s="239"/>
      <c r="D163" s="165"/>
      <c r="E163" s="560"/>
      <c r="F163" s="165"/>
      <c r="G163" s="165"/>
      <c r="H163" s="165"/>
      <c r="I163" s="165"/>
      <c r="J163" s="241"/>
      <c r="K163" s="242"/>
    </row>
    <row r="164" spans="1:18" ht="95.25" customHeight="1">
      <c r="A164" s="243" t="s">
        <v>115</v>
      </c>
      <c r="B164" s="405" t="s">
        <v>181</v>
      </c>
      <c r="C164" s="1567" t="s">
        <v>9</v>
      </c>
      <c r="D164" s="246" t="s">
        <v>117</v>
      </c>
      <c r="E164" s="246" t="s">
        <v>118</v>
      </c>
      <c r="F164" s="561" t="s">
        <v>119</v>
      </c>
      <c r="G164" s="246" t="s">
        <v>120</v>
      </c>
      <c r="H164" s="246" t="s">
        <v>121</v>
      </c>
      <c r="I164" s="248" t="s">
        <v>122</v>
      </c>
      <c r="J164" s="249" t="s">
        <v>123</v>
      </c>
      <c r="K164" s="249" t="s">
        <v>124</v>
      </c>
      <c r="L164" s="1721"/>
    </row>
    <row r="165" spans="1:18" ht="15.75" customHeight="1">
      <c r="A165" s="1878"/>
      <c r="B165" s="1879"/>
      <c r="C165" s="251">
        <v>2014</v>
      </c>
      <c r="D165" s="175"/>
      <c r="E165" s="175"/>
      <c r="F165" s="175"/>
      <c r="G165" s="175"/>
      <c r="H165" s="175"/>
      <c r="I165" s="176"/>
      <c r="J165" s="252">
        <v>0</v>
      </c>
      <c r="K165" s="253">
        <v>0</v>
      </c>
      <c r="L165" s="1721"/>
    </row>
    <row r="166" spans="1:18">
      <c r="A166" s="1880"/>
      <c r="B166" s="1881"/>
      <c r="C166" s="254">
        <v>2015</v>
      </c>
      <c r="D166" s="255"/>
      <c r="E166" s="255"/>
      <c r="F166" s="255"/>
      <c r="G166" s="255"/>
      <c r="H166" s="255"/>
      <c r="I166" s="256"/>
      <c r="J166" s="407">
        <v>0</v>
      </c>
      <c r="K166" s="408">
        <v>0</v>
      </c>
      <c r="L166" s="1721"/>
    </row>
    <row r="167" spans="1:18">
      <c r="A167" s="1880"/>
      <c r="B167" s="1881"/>
      <c r="C167" s="254">
        <v>2016</v>
      </c>
      <c r="D167" s="255"/>
      <c r="E167" s="255"/>
      <c r="F167" s="255"/>
      <c r="G167" s="255"/>
      <c r="H167" s="255"/>
      <c r="I167" s="256"/>
      <c r="J167" s="407">
        <v>0</v>
      </c>
      <c r="K167" s="408">
        <v>0</v>
      </c>
    </row>
    <row r="168" spans="1:18">
      <c r="A168" s="1880"/>
      <c r="B168" s="1881"/>
      <c r="C168" s="254">
        <v>2017</v>
      </c>
      <c r="D168" s="255"/>
      <c r="E168" s="165"/>
      <c r="F168" s="255"/>
      <c r="G168" s="255"/>
      <c r="H168" s="255"/>
      <c r="I168" s="256"/>
      <c r="J168" s="407">
        <v>0</v>
      </c>
      <c r="K168" s="408">
        <v>0</v>
      </c>
    </row>
    <row r="169" spans="1:18">
      <c r="A169" s="1880"/>
      <c r="B169" s="1881"/>
      <c r="C169" s="262">
        <v>2018</v>
      </c>
      <c r="D169" s="255"/>
      <c r="E169" s="255"/>
      <c r="F169" s="255"/>
      <c r="G169" s="263"/>
      <c r="H169" s="255"/>
      <c r="I169" s="256"/>
      <c r="J169" s="407">
        <v>0</v>
      </c>
      <c r="K169" s="408">
        <v>0</v>
      </c>
      <c r="L169" s="1721"/>
    </row>
    <row r="170" spans="1:18">
      <c r="A170" s="1880"/>
      <c r="B170" s="1881"/>
      <c r="C170" s="254">
        <v>2019</v>
      </c>
      <c r="D170" s="165"/>
      <c r="E170" s="255"/>
      <c r="F170" s="255"/>
      <c r="G170" s="255"/>
      <c r="H170" s="263"/>
      <c r="I170" s="256"/>
      <c r="J170" s="407">
        <v>0</v>
      </c>
      <c r="K170" s="408">
        <v>0</v>
      </c>
      <c r="L170" s="1721"/>
    </row>
    <row r="171" spans="1:18">
      <c r="A171" s="1880"/>
      <c r="B171" s="1881"/>
      <c r="C171" s="262">
        <v>2020</v>
      </c>
      <c r="D171" s="255"/>
      <c r="E171" s="255"/>
      <c r="F171" s="255"/>
      <c r="G171" s="255"/>
      <c r="H171" s="255"/>
      <c r="I171" s="256"/>
      <c r="J171" s="407">
        <v>0</v>
      </c>
      <c r="K171" s="408">
        <v>0</v>
      </c>
      <c r="L171" s="1721"/>
    </row>
    <row r="172" spans="1:18" ht="41.25" customHeight="1" thickBot="1">
      <c r="A172" s="1882"/>
      <c r="B172" s="1883"/>
      <c r="C172" s="265" t="s">
        <v>13</v>
      </c>
      <c r="D172" s="181">
        <v>0</v>
      </c>
      <c r="E172" s="181">
        <v>0</v>
      </c>
      <c r="F172" s="181">
        <v>0</v>
      </c>
      <c r="G172" s="181">
        <v>0</v>
      </c>
      <c r="H172" s="181">
        <v>0</v>
      </c>
      <c r="I172" s="409">
        <v>0</v>
      </c>
      <c r="J172" s="410">
        <v>0</v>
      </c>
      <c r="K172" s="221">
        <v>0</v>
      </c>
      <c r="L172" s="1721"/>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039" t="s">
        <v>127</v>
      </c>
      <c r="B176" s="2037" t="s">
        <v>182</v>
      </c>
      <c r="C176" s="2040" t="s">
        <v>9</v>
      </c>
      <c r="D176" s="273" t="s">
        <v>128</v>
      </c>
      <c r="E176" s="562"/>
      <c r="F176" s="562"/>
      <c r="G176" s="563"/>
      <c r="H176" s="276"/>
      <c r="I176" s="1888" t="s">
        <v>129</v>
      </c>
      <c r="J176" s="2041"/>
      <c r="K176" s="2041"/>
      <c r="L176" s="2041"/>
      <c r="M176" s="2041"/>
      <c r="N176" s="2041"/>
      <c r="O176" s="2042"/>
    </row>
    <row r="177" spans="1:20" s="56" customFormat="1" ht="129.7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20" ht="27.75" customHeight="1">
      <c r="A178" s="2639" t="s">
        <v>525</v>
      </c>
      <c r="B178" s="2640"/>
      <c r="C178" s="106">
        <v>2014</v>
      </c>
      <c r="D178" s="30"/>
      <c r="E178" s="31"/>
      <c r="F178" s="31"/>
      <c r="G178" s="284">
        <v>0</v>
      </c>
      <c r="H178" s="155"/>
      <c r="I178" s="155"/>
      <c r="J178" s="31"/>
      <c r="K178" s="31"/>
      <c r="L178" s="31"/>
      <c r="M178" s="31"/>
      <c r="N178" s="31"/>
      <c r="O178" s="34"/>
    </row>
    <row r="179" spans="1:20" ht="30.75" customHeight="1">
      <c r="A179" s="2639"/>
      <c r="B179" s="2640"/>
      <c r="C179" s="110">
        <v>2015</v>
      </c>
      <c r="D179" s="37"/>
      <c r="E179" s="38"/>
      <c r="F179" s="38"/>
      <c r="G179" s="284">
        <v>0</v>
      </c>
      <c r="H179" s="411"/>
      <c r="I179" s="112"/>
      <c r="J179" s="38"/>
      <c r="K179" s="38"/>
      <c r="L179" s="38"/>
      <c r="M179" s="38"/>
      <c r="N179" s="38"/>
      <c r="O179" s="88"/>
    </row>
    <row r="180" spans="1:20" ht="30.75" customHeight="1">
      <c r="A180" s="2639"/>
      <c r="B180" s="2640"/>
      <c r="C180" s="110">
        <v>2016</v>
      </c>
      <c r="D180" s="37">
        <v>7</v>
      </c>
      <c r="E180" s="38"/>
      <c r="F180" s="38">
        <v>1</v>
      </c>
      <c r="G180" s="284">
        <f>SUM(D180:F180)</f>
        <v>8</v>
      </c>
      <c r="H180" s="411">
        <v>9</v>
      </c>
      <c r="I180" s="112">
        <v>8</v>
      </c>
      <c r="J180" s="38"/>
      <c r="K180" s="38"/>
      <c r="L180" s="38"/>
      <c r="M180" s="38"/>
      <c r="N180" s="38"/>
      <c r="O180" s="88"/>
      <c r="T180" s="466"/>
    </row>
    <row r="181" spans="1:20" ht="35.25" customHeight="1">
      <c r="A181" s="2639"/>
      <c r="B181" s="2640"/>
      <c r="C181" s="110">
        <v>2017</v>
      </c>
      <c r="D181" s="37">
        <v>17</v>
      </c>
      <c r="E181" s="38">
        <v>2</v>
      </c>
      <c r="F181" s="38">
        <v>56</v>
      </c>
      <c r="G181" s="284">
        <f>SUM(D181:F181)</f>
        <v>75</v>
      </c>
      <c r="H181" s="411">
        <v>79</v>
      </c>
      <c r="I181" s="112">
        <v>75</v>
      </c>
      <c r="J181" s="38"/>
      <c r="K181" s="38"/>
      <c r="L181" s="38"/>
      <c r="M181" s="38"/>
      <c r="N181" s="38"/>
      <c r="O181" s="88"/>
    </row>
    <row r="182" spans="1:20" ht="34.5" customHeight="1">
      <c r="A182" s="2639"/>
      <c r="B182" s="2640"/>
      <c r="C182" s="110">
        <v>2018</v>
      </c>
      <c r="D182" s="37"/>
      <c r="E182" s="38"/>
      <c r="F182" s="38"/>
      <c r="G182" s="284">
        <v>0</v>
      </c>
      <c r="H182" s="411"/>
      <c r="I182" s="112"/>
      <c r="J182" s="38"/>
      <c r="K182" s="38"/>
      <c r="L182" s="38"/>
      <c r="M182" s="38"/>
      <c r="N182" s="38"/>
      <c r="O182" s="88"/>
    </row>
    <row r="183" spans="1:20" ht="27.75" customHeight="1">
      <c r="A183" s="2639"/>
      <c r="B183" s="2640"/>
      <c r="C183" s="110">
        <v>2019</v>
      </c>
      <c r="D183" s="37"/>
      <c r="E183" s="38"/>
      <c r="F183" s="38"/>
      <c r="G183" s="284">
        <v>0</v>
      </c>
      <c r="H183" s="411"/>
      <c r="I183" s="112"/>
      <c r="J183" s="38"/>
      <c r="K183" s="38"/>
      <c r="L183" s="38"/>
      <c r="M183" s="38"/>
      <c r="N183" s="38"/>
      <c r="O183" s="88"/>
    </row>
    <row r="184" spans="1:20" ht="53.25" customHeight="1">
      <c r="A184" s="2639"/>
      <c r="B184" s="2640"/>
      <c r="C184" s="110">
        <v>2020</v>
      </c>
      <c r="D184" s="37"/>
      <c r="E184" s="38"/>
      <c r="F184" s="38"/>
      <c r="G184" s="284">
        <v>0</v>
      </c>
      <c r="H184" s="411"/>
      <c r="I184" s="112"/>
      <c r="J184" s="38"/>
      <c r="K184" s="38"/>
      <c r="L184" s="38"/>
      <c r="M184" s="38"/>
      <c r="N184" s="38"/>
      <c r="O184" s="88"/>
    </row>
    <row r="185" spans="1:20" ht="409.5" customHeight="1" thickBot="1">
      <c r="A185" s="2641"/>
      <c r="B185" s="2642"/>
      <c r="C185" s="113" t="s">
        <v>13</v>
      </c>
      <c r="D185" s="139">
        <f>SUM(D179:D184)</f>
        <v>24</v>
      </c>
      <c r="E185" s="139">
        <f t="shared" ref="E185:O185" si="3">SUM(E179:E184)</f>
        <v>2</v>
      </c>
      <c r="F185" s="139">
        <f t="shared" si="3"/>
        <v>57</v>
      </c>
      <c r="G185" s="139">
        <f t="shared" si="3"/>
        <v>83</v>
      </c>
      <c r="H185" s="139">
        <f t="shared" si="3"/>
        <v>88</v>
      </c>
      <c r="I185" s="139">
        <f t="shared" si="3"/>
        <v>83</v>
      </c>
      <c r="J185" s="139">
        <f t="shared" si="3"/>
        <v>0</v>
      </c>
      <c r="K185" s="139">
        <f t="shared" si="3"/>
        <v>0</v>
      </c>
      <c r="L185" s="139">
        <f t="shared" si="3"/>
        <v>0</v>
      </c>
      <c r="M185" s="139">
        <f t="shared" si="3"/>
        <v>0</v>
      </c>
      <c r="N185" s="139">
        <f t="shared" si="3"/>
        <v>0</v>
      </c>
      <c r="O185" s="139">
        <f t="shared" si="3"/>
        <v>0</v>
      </c>
    </row>
    <row r="186" spans="1:20" ht="33" customHeight="1" thickBot="1"/>
    <row r="187" spans="1:20" ht="19.5" customHeight="1">
      <c r="A187" s="1861" t="s">
        <v>137</v>
      </c>
      <c r="B187" s="2037" t="s">
        <v>182</v>
      </c>
      <c r="C187" s="1865" t="s">
        <v>9</v>
      </c>
      <c r="D187" s="1867" t="s">
        <v>138</v>
      </c>
      <c r="E187" s="2038"/>
      <c r="F187" s="2038"/>
      <c r="G187" s="1869"/>
      <c r="H187" s="1870" t="s">
        <v>139</v>
      </c>
      <c r="I187" s="1865"/>
      <c r="J187" s="1865"/>
      <c r="K187" s="1865"/>
      <c r="L187" s="1871"/>
    </row>
    <row r="188" spans="1:20" ht="90" customHeight="1">
      <c r="A188" s="1862"/>
      <c r="B188" s="1864"/>
      <c r="C188" s="1866"/>
      <c r="D188" s="286" t="s">
        <v>140</v>
      </c>
      <c r="E188" s="286" t="s">
        <v>141</v>
      </c>
      <c r="F188" s="286" t="s">
        <v>142</v>
      </c>
      <c r="G188" s="287" t="s">
        <v>13</v>
      </c>
      <c r="H188" s="288" t="s">
        <v>143</v>
      </c>
      <c r="I188" s="286" t="s">
        <v>144</v>
      </c>
      <c r="J188" s="286" t="s">
        <v>145</v>
      </c>
      <c r="K188" s="286" t="s">
        <v>146</v>
      </c>
      <c r="L188" s="289" t="s">
        <v>147</v>
      </c>
    </row>
    <row r="189" spans="1:20" ht="15" customHeight="1">
      <c r="A189" s="1976" t="s">
        <v>526</v>
      </c>
      <c r="B189" s="1977"/>
      <c r="C189" s="290">
        <v>2014</v>
      </c>
      <c r="D189" s="133"/>
      <c r="E189" s="109"/>
      <c r="F189" s="109"/>
      <c r="G189" s="291">
        <v>0</v>
      </c>
      <c r="H189" s="108"/>
      <c r="I189" s="109"/>
      <c r="J189" s="109"/>
      <c r="K189" s="109"/>
      <c r="L189" s="134"/>
    </row>
    <row r="190" spans="1:20">
      <c r="A190" s="2502"/>
      <c r="B190" s="1855"/>
      <c r="C190" s="73">
        <v>2015</v>
      </c>
      <c r="D190" s="37"/>
      <c r="E190" s="38"/>
      <c r="F190" s="38"/>
      <c r="G190" s="291">
        <v>0</v>
      </c>
      <c r="H190" s="112"/>
      <c r="I190" s="38"/>
      <c r="J190" s="38"/>
      <c r="K190" s="38"/>
      <c r="L190" s="88"/>
    </row>
    <row r="191" spans="1:20">
      <c r="A191" s="2502"/>
      <c r="B191" s="1855"/>
      <c r="C191" s="73">
        <v>2016</v>
      </c>
      <c r="D191" s="37">
        <v>80</v>
      </c>
      <c r="E191" s="38"/>
      <c r="F191" s="38">
        <v>155</v>
      </c>
      <c r="G191" s="291">
        <v>235</v>
      </c>
      <c r="H191" s="112"/>
      <c r="I191" s="38">
        <v>4</v>
      </c>
      <c r="J191" s="38">
        <v>60</v>
      </c>
      <c r="K191" s="38">
        <v>32</v>
      </c>
      <c r="L191" s="88">
        <v>139</v>
      </c>
    </row>
    <row r="192" spans="1:20">
      <c r="A192" s="2502"/>
      <c r="B192" s="1855"/>
      <c r="C192" s="73">
        <v>2017</v>
      </c>
      <c r="D192" s="37">
        <v>443</v>
      </c>
      <c r="E192" s="38">
        <v>75</v>
      </c>
      <c r="F192" s="38">
        <v>212</v>
      </c>
      <c r="G192" s="291">
        <f>SUM(D192:F192)</f>
        <v>730</v>
      </c>
      <c r="H192" s="112"/>
      <c r="I192" s="38">
        <v>28</v>
      </c>
      <c r="J192" s="38">
        <v>290</v>
      </c>
      <c r="K192" s="38">
        <v>200</v>
      </c>
      <c r="L192" s="88">
        <v>212</v>
      </c>
    </row>
    <row r="193" spans="1:14">
      <c r="A193" s="2502"/>
      <c r="B193" s="1855"/>
      <c r="C193" s="73">
        <v>2018</v>
      </c>
      <c r="D193" s="37"/>
      <c r="E193" s="38"/>
      <c r="F193" s="38"/>
      <c r="G193" s="291">
        <v>0</v>
      </c>
      <c r="H193" s="112"/>
      <c r="I193" s="38"/>
      <c r="J193" s="38"/>
      <c r="K193" s="38"/>
      <c r="L193" s="88"/>
    </row>
    <row r="194" spans="1:14">
      <c r="A194" s="2502"/>
      <c r="B194" s="1855"/>
      <c r="C194" s="73">
        <v>2019</v>
      </c>
      <c r="D194" s="37"/>
      <c r="E194" s="38"/>
      <c r="F194" s="38"/>
      <c r="G194" s="291">
        <v>0</v>
      </c>
      <c r="H194" s="112"/>
      <c r="I194" s="38"/>
      <c r="J194" s="38"/>
      <c r="K194" s="38"/>
      <c r="L194" s="88"/>
    </row>
    <row r="195" spans="1:14">
      <c r="A195" s="2502"/>
      <c r="B195" s="1855"/>
      <c r="C195" s="73">
        <v>2020</v>
      </c>
      <c r="D195" s="37"/>
      <c r="E195" s="38"/>
      <c r="F195" s="38"/>
      <c r="G195" s="291">
        <v>0</v>
      </c>
      <c r="H195" s="112"/>
      <c r="I195" s="38"/>
      <c r="J195" s="38"/>
      <c r="K195" s="38"/>
      <c r="L195" s="88"/>
    </row>
    <row r="196" spans="1:14" ht="365.25" customHeight="1" thickBot="1">
      <c r="A196" s="1979"/>
      <c r="B196" s="1857"/>
      <c r="C196" s="136" t="s">
        <v>13</v>
      </c>
      <c r="D196" s="139">
        <f>SUM(D190:D195)</f>
        <v>523</v>
      </c>
      <c r="E196" s="139">
        <f t="shared" ref="E196:L196" si="4">SUM(E190:E195)</f>
        <v>75</v>
      </c>
      <c r="F196" s="139">
        <f t="shared" si="4"/>
        <v>367</v>
      </c>
      <c r="G196" s="139">
        <f t="shared" si="4"/>
        <v>965</v>
      </c>
      <c r="H196" s="139">
        <f t="shared" si="4"/>
        <v>0</v>
      </c>
      <c r="I196" s="139">
        <f t="shared" si="4"/>
        <v>32</v>
      </c>
      <c r="J196" s="139">
        <f t="shared" si="4"/>
        <v>350</v>
      </c>
      <c r="K196" s="139">
        <f t="shared" si="4"/>
        <v>232</v>
      </c>
      <c r="L196" s="139">
        <f t="shared" si="4"/>
        <v>351</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569" t="s">
        <v>150</v>
      </c>
      <c r="B201" s="417" t="s">
        <v>182</v>
      </c>
      <c r="C201" s="298" t="s">
        <v>9</v>
      </c>
      <c r="D201" s="299" t="s">
        <v>151</v>
      </c>
      <c r="E201" s="300" t="s">
        <v>152</v>
      </c>
      <c r="F201" s="300" t="s">
        <v>153</v>
      </c>
      <c r="G201" s="298" t="s">
        <v>154</v>
      </c>
      <c r="H201" s="570" t="s">
        <v>155</v>
      </c>
      <c r="I201" s="302" t="s">
        <v>156</v>
      </c>
      <c r="J201" s="303" t="s">
        <v>157</v>
      </c>
      <c r="K201" s="300" t="s">
        <v>158</v>
      </c>
      <c r="L201" s="304" t="s">
        <v>159</v>
      </c>
    </row>
    <row r="202" spans="1:14" ht="15" customHeight="1">
      <c r="A202" s="2378"/>
      <c r="B202" s="1855"/>
      <c r="C202" s="72">
        <v>2014</v>
      </c>
      <c r="D202" s="30"/>
      <c r="E202" s="31"/>
      <c r="F202" s="31"/>
      <c r="G202" s="29"/>
      <c r="H202" s="305"/>
      <c r="I202" s="306"/>
      <c r="J202" s="307"/>
      <c r="K202" s="31"/>
      <c r="L202" s="34"/>
    </row>
    <row r="203" spans="1:14">
      <c r="A203" s="2378"/>
      <c r="B203" s="1855"/>
      <c r="C203" s="73">
        <v>2015</v>
      </c>
      <c r="D203" s="37"/>
      <c r="E203" s="38"/>
      <c r="F203" s="38"/>
      <c r="G203" s="36"/>
      <c r="H203" s="308"/>
      <c r="I203" s="309"/>
      <c r="J203" s="310"/>
      <c r="K203" s="38"/>
      <c r="L203" s="88"/>
    </row>
    <row r="204" spans="1:14">
      <c r="A204" s="2378"/>
      <c r="B204" s="1855"/>
      <c r="C204" s="73">
        <v>2016</v>
      </c>
      <c r="D204" s="37"/>
      <c r="E204" s="38"/>
      <c r="F204" s="38"/>
      <c r="G204" s="36"/>
      <c r="H204" s="308"/>
      <c r="I204" s="309"/>
      <c r="J204" s="310"/>
      <c r="K204" s="38"/>
      <c r="L204" s="88"/>
    </row>
    <row r="205" spans="1:14">
      <c r="A205" s="2378"/>
      <c r="B205" s="1855"/>
      <c r="C205" s="73">
        <v>2017</v>
      </c>
      <c r="D205" s="37"/>
      <c r="E205" s="38"/>
      <c r="F205" s="38"/>
      <c r="G205" s="36"/>
      <c r="H205" s="308"/>
      <c r="I205" s="309"/>
      <c r="J205" s="310"/>
      <c r="K205" s="38"/>
      <c r="L205" s="88"/>
    </row>
    <row r="206" spans="1:14">
      <c r="A206" s="2378"/>
      <c r="B206" s="1855"/>
      <c r="C206" s="73">
        <v>2018</v>
      </c>
      <c r="D206" s="37"/>
      <c r="E206" s="38"/>
      <c r="F206" s="38"/>
      <c r="G206" s="36"/>
      <c r="H206" s="308"/>
      <c r="I206" s="309"/>
      <c r="J206" s="310"/>
      <c r="K206" s="38"/>
      <c r="L206" s="88"/>
    </row>
    <row r="207" spans="1:14">
      <c r="A207" s="2378"/>
      <c r="B207" s="1855"/>
      <c r="C207" s="73">
        <v>2019</v>
      </c>
      <c r="D207" s="37"/>
      <c r="E207" s="38"/>
      <c r="F207" s="38"/>
      <c r="G207" s="36"/>
      <c r="H207" s="308"/>
      <c r="I207" s="309"/>
      <c r="J207" s="310"/>
      <c r="K207" s="38"/>
      <c r="L207" s="88"/>
    </row>
    <row r="208" spans="1:14">
      <c r="A208" s="2378"/>
      <c r="B208" s="1855"/>
      <c r="C208" s="73">
        <v>2020</v>
      </c>
      <c r="D208" s="1533"/>
      <c r="E208" s="312"/>
      <c r="F208" s="312"/>
      <c r="G208" s="313"/>
      <c r="H208" s="314"/>
      <c r="I208" s="315"/>
      <c r="J208" s="316"/>
      <c r="K208" s="312"/>
      <c r="L208" s="317"/>
    </row>
    <row r="209" spans="1:14" ht="20.25" customHeight="1" thickBot="1">
      <c r="A209" s="1856"/>
      <c r="B209" s="1857"/>
      <c r="C209" s="136" t="s">
        <v>13</v>
      </c>
      <c r="D209" s="139">
        <v>0</v>
      </c>
      <c r="E209" s="139">
        <v>0</v>
      </c>
      <c r="F209" s="139">
        <v>0</v>
      </c>
      <c r="G209" s="139">
        <v>0</v>
      </c>
      <c r="H209" s="139">
        <v>0</v>
      </c>
      <c r="I209" s="139">
        <v>0</v>
      </c>
      <c r="J209" s="139">
        <v>0</v>
      </c>
      <c r="K209" s="139">
        <v>0</v>
      </c>
      <c r="L209" s="139">
        <v>0</v>
      </c>
    </row>
    <row r="211" spans="1:14" ht="15.75" thickBot="1"/>
    <row r="212" spans="1:14" ht="29.25">
      <c r="A212" s="571" t="s">
        <v>161</v>
      </c>
      <c r="B212" s="322" t="s">
        <v>162</v>
      </c>
      <c r="C212" s="323">
        <v>2014</v>
      </c>
      <c r="D212" s="324">
        <v>2015</v>
      </c>
      <c r="E212" s="324">
        <v>2016</v>
      </c>
      <c r="F212" s="324">
        <v>2017</v>
      </c>
      <c r="G212" s="324">
        <v>2018</v>
      </c>
      <c r="H212" s="324">
        <v>2019</v>
      </c>
      <c r="I212" s="325">
        <v>2020</v>
      </c>
    </row>
    <row r="213" spans="1:14" ht="15" customHeight="1">
      <c r="A213" t="s">
        <v>163</v>
      </c>
      <c r="B213" s="2184" t="s">
        <v>527</v>
      </c>
      <c r="C213" s="72"/>
      <c r="D213" s="328">
        <f>SUM(D214)</f>
        <v>8832.56</v>
      </c>
      <c r="E213" s="328">
        <f>E214+E215+E217</f>
        <v>53687.01</v>
      </c>
      <c r="F213" s="328">
        <v>56827.73</v>
      </c>
      <c r="G213" s="135"/>
      <c r="H213" s="135"/>
      <c r="I213" s="326"/>
      <c r="J213" s="327">
        <f>SUM(D213:I213)</f>
        <v>119347.3</v>
      </c>
      <c r="K213">
        <v>117809.4</v>
      </c>
      <c r="L213" s="327">
        <f>SUM(J213-K213)</f>
        <v>1537.9000000000087</v>
      </c>
    </row>
    <row r="214" spans="1:14">
      <c r="A214" t="s">
        <v>164</v>
      </c>
      <c r="B214" s="2637"/>
      <c r="C214" s="72"/>
      <c r="D214" s="328">
        <v>8832.56</v>
      </c>
      <c r="E214" s="328">
        <v>1474.38</v>
      </c>
      <c r="F214" s="135">
        <v>0</v>
      </c>
      <c r="G214" s="135"/>
      <c r="H214" s="135"/>
      <c r="I214" s="326"/>
    </row>
    <row r="215" spans="1:14">
      <c r="A215" t="s">
        <v>165</v>
      </c>
      <c r="B215" s="2637"/>
      <c r="C215" s="72"/>
      <c r="D215" s="135">
        <v>0</v>
      </c>
      <c r="E215" s="135">
        <v>843.95</v>
      </c>
      <c r="F215" s="135">
        <v>0</v>
      </c>
      <c r="G215" s="135"/>
      <c r="H215" s="135"/>
      <c r="I215" s="326"/>
    </row>
    <row r="216" spans="1:14">
      <c r="A216" t="s">
        <v>166</v>
      </c>
      <c r="B216" s="2637"/>
      <c r="C216" s="72"/>
      <c r="D216" s="135">
        <v>0</v>
      </c>
      <c r="E216" s="135">
        <v>0</v>
      </c>
      <c r="F216" s="135">
        <v>0</v>
      </c>
      <c r="G216" s="135"/>
      <c r="H216" s="135"/>
      <c r="I216" s="326"/>
      <c r="N216">
        <v>53687.01</v>
      </c>
    </row>
    <row r="217" spans="1:14">
      <c r="A217" t="s">
        <v>167</v>
      </c>
      <c r="B217" s="2637"/>
      <c r="C217" s="72"/>
      <c r="D217" s="135">
        <v>0</v>
      </c>
      <c r="E217" s="328">
        <v>51368.68</v>
      </c>
      <c r="F217" s="328">
        <v>56827.14</v>
      </c>
      <c r="G217" s="135"/>
      <c r="H217" s="135"/>
      <c r="I217" s="326"/>
    </row>
    <row r="218" spans="1:14" ht="30">
      <c r="A218" s="56" t="s">
        <v>168</v>
      </c>
      <c r="B218" s="2637"/>
      <c r="C218" s="72"/>
      <c r="D218" s="328">
        <v>100043.61</v>
      </c>
      <c r="E218" s="328">
        <v>107791.25</v>
      </c>
      <c r="F218" s="328">
        <v>96449.71</v>
      </c>
      <c r="G218" s="135"/>
      <c r="H218" s="135"/>
      <c r="I218" s="326"/>
    </row>
    <row r="219" spans="1:14" ht="311.25" customHeight="1" thickBot="1">
      <c r="A219" s="1527" t="s">
        <v>528</v>
      </c>
      <c r="B219" s="2638"/>
      <c r="C219" s="42" t="s">
        <v>13</v>
      </c>
      <c r="D219" s="332">
        <f>SUM(D214:D218)</f>
        <v>108876.17</v>
      </c>
      <c r="E219" s="333">
        <v>161478.26</v>
      </c>
      <c r="F219" s="332">
        <f>F213+F218</f>
        <v>153277.44</v>
      </c>
      <c r="G219" s="332">
        <f t="shared" ref="G219:I219" si="5">G213+G218</f>
        <v>0</v>
      </c>
      <c r="H219" s="332">
        <f t="shared" si="5"/>
        <v>0</v>
      </c>
      <c r="I219" s="332">
        <f t="shared" si="5"/>
        <v>0</v>
      </c>
    </row>
    <row r="220" spans="1:14">
      <c r="E220">
        <f>62241.05-60703.15</f>
        <v>1537.9000000000015</v>
      </c>
    </row>
    <row r="227" spans="1:1">
      <c r="A227" s="56"/>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7"/>
  <sheetViews>
    <sheetView topLeftCell="B22" workbookViewId="0">
      <selection activeCell="I231" sqref="I231"/>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529</v>
      </c>
      <c r="C1" s="1944"/>
      <c r="D1" s="1944"/>
      <c r="E1" s="1944"/>
      <c r="F1" s="1944"/>
    </row>
    <row r="2" spans="1:25" s="1" customFormat="1" ht="20.100000000000001" customHeight="1" thickBot="1"/>
    <row r="3" spans="1:25" s="4" customFormat="1" ht="20.100000000000001" customHeight="1">
      <c r="A3" s="1536" t="s">
        <v>2</v>
      </c>
      <c r="B3" s="1585"/>
      <c r="C3" s="1585"/>
      <c r="D3" s="1585"/>
      <c r="E3" s="1585"/>
      <c r="F3" s="2418"/>
      <c r="G3" s="2418"/>
      <c r="H3" s="2418"/>
      <c r="I3" s="2418"/>
      <c r="J3" s="2418"/>
      <c r="K3" s="2418"/>
      <c r="L3" s="2418"/>
      <c r="M3" s="2418"/>
      <c r="N3" s="2418"/>
      <c r="O3" s="2522"/>
    </row>
    <row r="4" spans="1:25" s="4" customFormat="1" ht="20.100000000000001" customHeight="1">
      <c r="A4" s="2420" t="s">
        <v>170</v>
      </c>
      <c r="B4" s="1948"/>
      <c r="C4" s="1948"/>
      <c r="D4" s="1948"/>
      <c r="E4" s="1948"/>
      <c r="F4" s="1948"/>
      <c r="G4" s="1948"/>
      <c r="H4" s="1948"/>
      <c r="I4" s="1948"/>
      <c r="J4" s="1948"/>
      <c r="K4" s="1948"/>
      <c r="L4" s="1948"/>
      <c r="M4" s="1948"/>
      <c r="N4" s="1948"/>
      <c r="O4" s="1949"/>
    </row>
    <row r="5" spans="1:25" s="4" customFormat="1" ht="20.100000000000001" customHeight="1">
      <c r="A5" s="2420"/>
      <c r="B5" s="1948"/>
      <c r="C5" s="1948"/>
      <c r="D5" s="1948"/>
      <c r="E5" s="1948"/>
      <c r="F5" s="1948"/>
      <c r="G5" s="1948"/>
      <c r="H5" s="1948"/>
      <c r="I5" s="1948"/>
      <c r="J5" s="1948"/>
      <c r="K5" s="1948"/>
      <c r="L5" s="1948"/>
      <c r="M5" s="1948"/>
      <c r="N5" s="1948"/>
      <c r="O5" s="1949"/>
    </row>
    <row r="6" spans="1:25" s="4" customFormat="1" ht="20.100000000000001" customHeight="1">
      <c r="A6" s="2420"/>
      <c r="B6" s="1948"/>
      <c r="C6" s="1948"/>
      <c r="D6" s="1948"/>
      <c r="E6" s="1948"/>
      <c r="F6" s="1948"/>
      <c r="G6" s="1948"/>
      <c r="H6" s="1948"/>
      <c r="I6" s="1948"/>
      <c r="J6" s="1948"/>
      <c r="K6" s="1948"/>
      <c r="L6" s="1948"/>
      <c r="M6" s="1948"/>
      <c r="N6" s="1948"/>
      <c r="O6" s="1949"/>
    </row>
    <row r="7" spans="1:25" s="4" customFormat="1" ht="20.100000000000001" customHeight="1">
      <c r="A7" s="2420"/>
      <c r="B7" s="1948"/>
      <c r="C7" s="1948"/>
      <c r="D7" s="1948"/>
      <c r="E7" s="1948"/>
      <c r="F7" s="1948"/>
      <c r="G7" s="1948"/>
      <c r="H7" s="1948"/>
      <c r="I7" s="1948"/>
      <c r="J7" s="1948"/>
      <c r="K7" s="1948"/>
      <c r="L7" s="1948"/>
      <c r="M7" s="1948"/>
      <c r="N7" s="1948"/>
      <c r="O7" s="1949"/>
    </row>
    <row r="8" spans="1:25" s="4" customFormat="1" ht="20.100000000000001" customHeight="1">
      <c r="A8" s="2420"/>
      <c r="B8" s="1948"/>
      <c r="C8" s="1948"/>
      <c r="D8" s="1948"/>
      <c r="E8" s="1948"/>
      <c r="F8" s="1948"/>
      <c r="G8" s="1948"/>
      <c r="H8" s="1948"/>
      <c r="I8" s="1948"/>
      <c r="J8" s="1948"/>
      <c r="K8" s="1948"/>
      <c r="L8" s="1948"/>
      <c r="M8" s="1948"/>
      <c r="N8" s="1948"/>
      <c r="O8" s="1949"/>
    </row>
    <row r="9" spans="1:25" s="4" customFormat="1" ht="20.100000000000001" customHeight="1">
      <c r="A9" s="2420"/>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515"/>
      <c r="B15" s="516"/>
      <c r="C15" s="10"/>
      <c r="D15" s="1953" t="s">
        <v>5</v>
      </c>
      <c r="E15" s="2012"/>
      <c r="F15" s="2012"/>
      <c r="G15" s="2012"/>
      <c r="H15" s="11"/>
      <c r="I15" s="12" t="s">
        <v>6</v>
      </c>
      <c r="J15" s="13"/>
      <c r="K15" s="13"/>
      <c r="L15" s="13"/>
      <c r="M15" s="13"/>
      <c r="N15" s="13"/>
      <c r="O15" s="14"/>
      <c r="P15" s="15"/>
      <c r="Q15" s="16"/>
      <c r="R15" s="17"/>
      <c r="S15" s="17"/>
      <c r="T15" s="17"/>
      <c r="U15" s="17"/>
      <c r="V15" s="17"/>
      <c r="W15" s="15"/>
      <c r="X15" s="15"/>
      <c r="Y15" s="16"/>
    </row>
    <row r="16" spans="1:25" s="56" customFormat="1" ht="129" customHeight="1">
      <c r="A16" s="1661"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1874" t="s">
        <v>530</v>
      </c>
      <c r="B17" s="1855"/>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1854"/>
      <c r="B18" s="1855"/>
      <c r="C18" s="36">
        <v>2015</v>
      </c>
      <c r="D18" s="37">
        <v>7</v>
      </c>
      <c r="E18" s="38">
        <v>1</v>
      </c>
      <c r="F18" s="38"/>
      <c r="G18" s="32">
        <f>SUM(D18:F18)</f>
        <v>8</v>
      </c>
      <c r="H18" s="39">
        <v>8</v>
      </c>
      <c r="I18" s="38"/>
      <c r="J18" s="38"/>
      <c r="K18" s="38"/>
      <c r="L18" s="38"/>
      <c r="M18" s="38"/>
      <c r="N18" s="38"/>
      <c r="O18" s="40"/>
      <c r="P18" s="35"/>
      <c r="Q18" s="35"/>
      <c r="R18" s="35"/>
      <c r="S18" s="35"/>
      <c r="T18" s="35"/>
      <c r="U18" s="35"/>
      <c r="V18" s="35"/>
      <c r="W18" s="35"/>
      <c r="X18" s="35"/>
      <c r="Y18" s="35"/>
    </row>
    <row r="19" spans="1:25">
      <c r="A19" s="1854"/>
      <c r="B19" s="1855"/>
      <c r="C19" s="36">
        <v>2016</v>
      </c>
      <c r="D19" s="37">
        <v>15</v>
      </c>
      <c r="E19" s="38">
        <v>1</v>
      </c>
      <c r="F19" s="38"/>
      <c r="G19" s="32">
        <f t="shared" si="0"/>
        <v>16</v>
      </c>
      <c r="H19" s="39">
        <v>16</v>
      </c>
      <c r="I19" s="38"/>
      <c r="J19" s="38"/>
      <c r="K19" s="38"/>
      <c r="L19" s="38"/>
      <c r="M19" s="38"/>
      <c r="N19" s="38"/>
      <c r="O19" s="40"/>
      <c r="P19" s="35"/>
      <c r="Q19" s="35"/>
      <c r="R19" s="35"/>
      <c r="S19" s="35"/>
      <c r="T19" s="35"/>
      <c r="U19" s="35"/>
      <c r="V19" s="35"/>
      <c r="W19" s="35"/>
      <c r="X19" s="35"/>
      <c r="Y19" s="35"/>
    </row>
    <row r="20" spans="1:25">
      <c r="A20" s="1854"/>
      <c r="B20" s="1855"/>
      <c r="C20" s="36">
        <v>2017</v>
      </c>
      <c r="D20" s="37">
        <v>11</v>
      </c>
      <c r="E20" s="38">
        <v>1</v>
      </c>
      <c r="F20" s="38"/>
      <c r="G20" s="32">
        <f t="shared" si="0"/>
        <v>12</v>
      </c>
      <c r="H20" s="39">
        <v>12</v>
      </c>
      <c r="I20" s="38"/>
      <c r="J20" s="38"/>
      <c r="K20" s="38"/>
      <c r="L20" s="38"/>
      <c r="M20" s="38"/>
      <c r="N20" s="38"/>
      <c r="O20" s="40"/>
      <c r="P20" s="35"/>
      <c r="Q20" s="35"/>
      <c r="R20" s="35"/>
      <c r="S20" s="35"/>
      <c r="T20" s="35"/>
      <c r="U20" s="35"/>
      <c r="V20" s="35"/>
      <c r="W20" s="35"/>
      <c r="X20" s="35"/>
      <c r="Y20" s="35"/>
    </row>
    <row r="21" spans="1:25">
      <c r="A21" s="1854"/>
      <c r="B21" s="1855"/>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1854"/>
      <c r="B22" s="1855"/>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1854"/>
      <c r="B23" s="1855"/>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48.6" customHeight="1" thickBot="1">
      <c r="A24" s="1856"/>
      <c r="B24" s="1857"/>
      <c r="C24" s="42" t="s">
        <v>13</v>
      </c>
      <c r="D24" s="43">
        <f>SUM(D17:D23)</f>
        <v>33</v>
      </c>
      <c r="E24" s="44">
        <f>SUM(E17:E23)</f>
        <v>3</v>
      </c>
      <c r="F24" s="44">
        <f>SUM(F17:F23)</f>
        <v>0</v>
      </c>
      <c r="G24" s="45">
        <f>SUM(D24:F24)</f>
        <v>36</v>
      </c>
      <c r="H24" s="46">
        <f>SUM(H17:H23)</f>
        <v>36</v>
      </c>
      <c r="I24" s="47">
        <f>SUM(I17:I23)</f>
        <v>0</v>
      </c>
      <c r="J24" s="47">
        <f t="shared" ref="J24:N24" si="1">SUM(J17:J23)</f>
        <v>0</v>
      </c>
      <c r="K24" s="47">
        <f t="shared" si="1"/>
        <v>0</v>
      </c>
      <c r="L24" s="47">
        <f t="shared" si="1"/>
        <v>0</v>
      </c>
      <c r="M24" s="47">
        <f t="shared" si="1"/>
        <v>0</v>
      </c>
      <c r="N24" s="47">
        <f t="shared" si="1"/>
        <v>0</v>
      </c>
      <c r="O24" s="48">
        <f>SUM(O17:O23)</f>
        <v>0</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515"/>
      <c r="B26" s="516"/>
      <c r="C26" s="50"/>
      <c r="D26" s="1959" t="s">
        <v>5</v>
      </c>
      <c r="E26" s="2071"/>
      <c r="F26" s="2071"/>
      <c r="G26" s="2072"/>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1874" t="s">
        <v>531</v>
      </c>
      <c r="B28" s="1855"/>
      <c r="C28" s="57">
        <v>2014</v>
      </c>
      <c r="D28" s="33"/>
      <c r="E28" s="31"/>
      <c r="F28" s="31"/>
      <c r="G28" s="58">
        <f>SUM(D28:F28)</f>
        <v>0</v>
      </c>
      <c r="H28" s="35"/>
      <c r="I28" s="35"/>
      <c r="J28" s="35"/>
      <c r="K28" s="35"/>
      <c r="L28" s="35"/>
      <c r="M28" s="35"/>
      <c r="N28" s="35"/>
      <c r="O28" s="35"/>
      <c r="P28" s="35"/>
      <c r="Q28" s="7"/>
    </row>
    <row r="29" spans="1:25">
      <c r="A29" s="1854"/>
      <c r="B29" s="1855"/>
      <c r="C29" s="59">
        <v>2015</v>
      </c>
      <c r="D29" s="39">
        <v>357</v>
      </c>
      <c r="E29" s="1722">
        <v>80000</v>
      </c>
      <c r="F29" s="38"/>
      <c r="G29" s="58">
        <f t="shared" ref="G29:G35" si="2">SUM(D29:F29)</f>
        <v>80357</v>
      </c>
      <c r="H29" s="35"/>
      <c r="I29" s="35"/>
      <c r="J29" s="35"/>
      <c r="K29" s="35"/>
      <c r="L29" s="35"/>
      <c r="M29" s="35"/>
      <c r="N29" s="35"/>
      <c r="O29" s="35"/>
      <c r="P29" s="35"/>
      <c r="Q29" s="7"/>
    </row>
    <row r="30" spans="1:25">
      <c r="A30" s="1854"/>
      <c r="B30" s="1855"/>
      <c r="C30" s="59">
        <v>2016</v>
      </c>
      <c r="D30" s="39">
        <v>2375</v>
      </c>
      <c r="E30" s="1722">
        <v>80000</v>
      </c>
      <c r="F30" s="38"/>
      <c r="G30" s="58">
        <f t="shared" si="2"/>
        <v>82375</v>
      </c>
      <c r="H30" s="35"/>
      <c r="I30" s="35"/>
      <c r="J30" s="35"/>
      <c r="K30" s="35"/>
      <c r="L30" s="35"/>
      <c r="M30" s="35"/>
      <c r="N30" s="35"/>
      <c r="O30" s="35"/>
      <c r="P30" s="35"/>
      <c r="Q30" s="7"/>
    </row>
    <row r="31" spans="1:25">
      <c r="A31" s="1854"/>
      <c r="B31" s="1855"/>
      <c r="C31" s="59">
        <v>2017</v>
      </c>
      <c r="D31" s="39">
        <v>10807</v>
      </c>
      <c r="E31" s="1722">
        <v>80000</v>
      </c>
      <c r="F31" s="38"/>
      <c r="G31" s="58">
        <f t="shared" si="2"/>
        <v>90807</v>
      </c>
      <c r="H31" s="35"/>
      <c r="I31" s="35"/>
      <c r="J31" s="35"/>
      <c r="K31" s="35"/>
      <c r="L31" s="35"/>
      <c r="M31" s="35"/>
      <c r="N31" s="35"/>
      <c r="O31" s="35"/>
      <c r="P31" s="35"/>
      <c r="Q31" s="7"/>
    </row>
    <row r="32" spans="1:25">
      <c r="A32" s="1854"/>
      <c r="B32" s="1855"/>
      <c r="C32" s="59">
        <v>2018</v>
      </c>
      <c r="D32" s="39"/>
      <c r="E32" s="38"/>
      <c r="F32" s="38"/>
      <c r="G32" s="58">
        <f>SUM(D32:F32)</f>
        <v>0</v>
      </c>
      <c r="H32" s="35"/>
      <c r="I32" s="35"/>
      <c r="J32" s="35"/>
      <c r="K32" s="35"/>
      <c r="L32" s="35"/>
      <c r="M32" s="35"/>
      <c r="N32" s="35"/>
      <c r="O32" s="35"/>
      <c r="P32" s="35"/>
      <c r="Q32" s="7"/>
    </row>
    <row r="33" spans="1:17">
      <c r="A33" s="1854"/>
      <c r="B33" s="1855"/>
      <c r="C33" s="60">
        <v>2019</v>
      </c>
      <c r="D33" s="39"/>
      <c r="E33" s="38"/>
      <c r="F33" s="38"/>
      <c r="G33" s="58">
        <f t="shared" si="2"/>
        <v>0</v>
      </c>
      <c r="H33" s="35"/>
      <c r="I33" s="35"/>
      <c r="J33" s="35"/>
      <c r="K33" s="35"/>
      <c r="L33" s="35"/>
      <c r="M33" s="35"/>
      <c r="N33" s="35"/>
      <c r="O33" s="35"/>
      <c r="P33" s="35"/>
      <c r="Q33" s="7"/>
    </row>
    <row r="34" spans="1:17">
      <c r="A34" s="1854"/>
      <c r="B34" s="1855"/>
      <c r="C34" s="59">
        <v>2020</v>
      </c>
      <c r="D34" s="39"/>
      <c r="E34" s="38"/>
      <c r="F34" s="38"/>
      <c r="G34" s="58">
        <f t="shared" si="2"/>
        <v>0</v>
      </c>
      <c r="H34" s="35"/>
      <c r="I34" s="35"/>
      <c r="J34" s="35"/>
      <c r="K34" s="35"/>
      <c r="L34" s="35"/>
      <c r="M34" s="35"/>
      <c r="N34" s="35"/>
      <c r="O34" s="35"/>
      <c r="P34" s="35"/>
      <c r="Q34" s="7"/>
    </row>
    <row r="35" spans="1:17" ht="20.25" customHeight="1" thickBot="1">
      <c r="A35" s="1856"/>
      <c r="B35" s="1857"/>
      <c r="C35" s="61" t="s">
        <v>13</v>
      </c>
      <c r="D35" s="46">
        <f>SUM(D28:D34)</f>
        <v>13539</v>
      </c>
      <c r="E35" s="44">
        <f>SUM(E28:E34)</f>
        <v>240000</v>
      </c>
      <c r="F35" s="44">
        <f>SUM(F28:F34)</f>
        <v>0</v>
      </c>
      <c r="G35" s="48">
        <f t="shared" si="2"/>
        <v>253539</v>
      </c>
      <c r="H35" s="35"/>
      <c r="I35" s="35"/>
      <c r="J35" s="35"/>
      <c r="K35" s="35"/>
      <c r="L35" s="35"/>
      <c r="M35" s="35"/>
      <c r="N35" s="35"/>
      <c r="O35" s="35"/>
      <c r="P35" s="35"/>
      <c r="Q35" s="7"/>
    </row>
    <row r="36" spans="1:17">
      <c r="A36" s="1535"/>
      <c r="B36" s="1535"/>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535" t="s">
        <v>26</v>
      </c>
      <c r="B39" s="536" t="s">
        <v>171</v>
      </c>
      <c r="C39" s="68" t="s">
        <v>9</v>
      </c>
      <c r="D39" s="69" t="s">
        <v>28</v>
      </c>
      <c r="E39" s="70" t="s">
        <v>29</v>
      </c>
      <c r="F39" s="71"/>
      <c r="G39" s="28"/>
      <c r="H39" s="28"/>
    </row>
    <row r="40" spans="1:17">
      <c r="A40" s="1874"/>
      <c r="B40" s="1855"/>
      <c r="C40" s="72">
        <v>2014</v>
      </c>
      <c r="D40" s="30"/>
      <c r="E40" s="29"/>
      <c r="F40" s="7"/>
      <c r="G40" s="35"/>
      <c r="H40" s="35"/>
    </row>
    <row r="41" spans="1:17">
      <c r="A41" s="1854"/>
      <c r="B41" s="1855"/>
      <c r="C41" s="73">
        <v>2015</v>
      </c>
      <c r="D41" s="37"/>
      <c r="E41" s="36"/>
      <c r="F41" s="7"/>
      <c r="G41" s="35"/>
      <c r="H41" s="35"/>
    </row>
    <row r="42" spans="1:17">
      <c r="A42" s="1854"/>
      <c r="B42" s="1855"/>
      <c r="C42" s="73">
        <v>2016</v>
      </c>
      <c r="D42" s="37">
        <v>1018</v>
      </c>
      <c r="E42" s="36">
        <v>67</v>
      </c>
      <c r="F42" s="7"/>
      <c r="G42" s="35"/>
      <c r="H42" s="35"/>
    </row>
    <row r="43" spans="1:17">
      <c r="A43" s="1854"/>
      <c r="B43" s="1855"/>
      <c r="C43" s="73">
        <v>2017</v>
      </c>
      <c r="D43" s="37">
        <v>3308</v>
      </c>
      <c r="E43" s="36">
        <v>474</v>
      </c>
      <c r="F43" s="7"/>
      <c r="G43" s="35"/>
      <c r="H43" s="35"/>
    </row>
    <row r="44" spans="1:17">
      <c r="A44" s="1854"/>
      <c r="B44" s="1855"/>
      <c r="C44" s="73">
        <v>2018</v>
      </c>
      <c r="D44" s="37"/>
      <c r="E44" s="36"/>
      <c r="F44" s="7"/>
      <c r="G44" s="35"/>
      <c r="H44" s="35"/>
    </row>
    <row r="45" spans="1:17">
      <c r="A45" s="1854"/>
      <c r="B45" s="1855"/>
      <c r="C45" s="73">
        <v>2019</v>
      </c>
      <c r="D45" s="37"/>
      <c r="E45" s="36"/>
      <c r="F45" s="7"/>
      <c r="G45" s="35"/>
      <c r="H45" s="35"/>
    </row>
    <row r="46" spans="1:17">
      <c r="A46" s="1854"/>
      <c r="B46" s="1855"/>
      <c r="C46" s="73">
        <v>2020</v>
      </c>
      <c r="D46" s="37"/>
      <c r="E46" s="36"/>
      <c r="F46" s="7"/>
      <c r="G46" s="35"/>
      <c r="H46" s="35"/>
    </row>
    <row r="47" spans="1:17" ht="15.75" thickBot="1">
      <c r="A47" s="1856"/>
      <c r="B47" s="1857"/>
      <c r="C47" s="42" t="s">
        <v>13</v>
      </c>
      <c r="D47" s="43">
        <f>SUM(D40:D46)</f>
        <v>4326</v>
      </c>
      <c r="E47" s="455">
        <f>SUM(E40:E46)</f>
        <v>541</v>
      </c>
      <c r="F47" s="78"/>
      <c r="G47" s="35"/>
      <c r="H47" s="35"/>
    </row>
    <row r="48" spans="1:17" s="35" customFormat="1" ht="15.75" thickBot="1">
      <c r="A48" s="539"/>
      <c r="B48" s="80"/>
      <c r="C48" s="81"/>
    </row>
    <row r="49" spans="1:15" ht="83.25" customHeight="1">
      <c r="A49" s="82" t="s">
        <v>32</v>
      </c>
      <c r="B49" s="536" t="s">
        <v>171</v>
      </c>
      <c r="C49" s="84" t="s">
        <v>9</v>
      </c>
      <c r="D49" s="69" t="s">
        <v>34</v>
      </c>
      <c r="E49" s="85" t="s">
        <v>35</v>
      </c>
      <c r="F49" s="85" t="s">
        <v>36</v>
      </c>
      <c r="G49" s="85" t="s">
        <v>37</v>
      </c>
      <c r="H49" s="85" t="s">
        <v>38</v>
      </c>
      <c r="I49" s="85" t="s">
        <v>39</v>
      </c>
      <c r="J49" s="85" t="s">
        <v>40</v>
      </c>
      <c r="K49" s="86" t="s">
        <v>41</v>
      </c>
    </row>
    <row r="50" spans="1:15" ht="17.25" customHeight="1">
      <c r="A50" s="1872"/>
      <c r="B50" s="1879"/>
      <c r="C50" s="87" t="s">
        <v>43</v>
      </c>
      <c r="D50" s="30"/>
      <c r="E50" s="31"/>
      <c r="F50" s="31"/>
      <c r="G50" s="31"/>
      <c r="H50" s="31"/>
      <c r="I50" s="31"/>
      <c r="J50" s="31"/>
      <c r="K50" s="34"/>
    </row>
    <row r="51" spans="1:15" ht="15" customHeight="1">
      <c r="A51" s="1874"/>
      <c r="B51" s="1881"/>
      <c r="C51" s="73">
        <v>2014</v>
      </c>
      <c r="D51" s="37"/>
      <c r="E51" s="38"/>
      <c r="F51" s="38"/>
      <c r="G51" s="38"/>
      <c r="H51" s="38"/>
      <c r="I51" s="38"/>
      <c r="J51" s="38"/>
      <c r="K51" s="88"/>
    </row>
    <row r="52" spans="1:15">
      <c r="A52" s="1874"/>
      <c r="B52" s="1881"/>
      <c r="C52" s="73">
        <v>2015</v>
      </c>
      <c r="D52" s="37"/>
      <c r="E52" s="38"/>
      <c r="F52" s="38"/>
      <c r="G52" s="38"/>
      <c r="H52" s="38"/>
      <c r="I52" s="38"/>
      <c r="J52" s="38"/>
      <c r="K52" s="88"/>
    </row>
    <row r="53" spans="1:15">
      <c r="A53" s="1874"/>
      <c r="B53" s="1881"/>
      <c r="C53" s="73">
        <v>2016</v>
      </c>
      <c r="D53" s="37"/>
      <c r="E53" s="38"/>
      <c r="F53" s="38"/>
      <c r="G53" s="38"/>
      <c r="H53" s="38"/>
      <c r="I53" s="38"/>
      <c r="J53" s="38"/>
      <c r="K53" s="88"/>
    </row>
    <row r="54" spans="1:15">
      <c r="A54" s="1874"/>
      <c r="B54" s="1881"/>
      <c r="C54" s="73">
        <v>2017</v>
      </c>
      <c r="D54" s="37">
        <v>1</v>
      </c>
      <c r="E54" s="38"/>
      <c r="F54" s="38"/>
      <c r="G54" s="38">
        <v>24</v>
      </c>
      <c r="H54" s="38"/>
      <c r="I54" s="38"/>
      <c r="J54" s="38">
        <v>3</v>
      </c>
      <c r="K54" s="88">
        <v>11</v>
      </c>
    </row>
    <row r="55" spans="1:15">
      <c r="A55" s="1874"/>
      <c r="B55" s="1881"/>
      <c r="C55" s="73">
        <v>2018</v>
      </c>
      <c r="D55" s="37"/>
      <c r="E55" s="38"/>
      <c r="F55" s="38"/>
      <c r="G55" s="38"/>
      <c r="H55" s="38"/>
      <c r="I55" s="38"/>
      <c r="J55" s="38"/>
      <c r="K55" s="88"/>
    </row>
    <row r="56" spans="1:15">
      <c r="A56" s="1874"/>
      <c r="B56" s="1881"/>
      <c r="C56" s="73">
        <v>2019</v>
      </c>
      <c r="D56" s="37"/>
      <c r="E56" s="38"/>
      <c r="F56" s="38"/>
      <c r="G56" s="38"/>
      <c r="H56" s="38"/>
      <c r="I56" s="38"/>
      <c r="J56" s="38"/>
      <c r="K56" s="88"/>
    </row>
    <row r="57" spans="1:15">
      <c r="A57" s="1874"/>
      <c r="B57" s="1881"/>
      <c r="C57" s="73">
        <v>2020</v>
      </c>
      <c r="D57" s="37"/>
      <c r="E57" s="38"/>
      <c r="F57" s="38"/>
      <c r="G57" s="38"/>
      <c r="H57" s="38"/>
      <c r="I57" s="38"/>
      <c r="J57" s="38"/>
      <c r="K57" s="93"/>
    </row>
    <row r="58" spans="1:15" ht="20.25" customHeight="1" thickBot="1">
      <c r="A58" s="1876"/>
      <c r="B58" s="1883"/>
      <c r="C58" s="42" t="s">
        <v>13</v>
      </c>
      <c r="D58" s="43">
        <f>SUM(D51:D57)</f>
        <v>1</v>
      </c>
      <c r="E58" s="44">
        <f>SUM(E51:E57)</f>
        <v>0</v>
      </c>
      <c r="F58" s="44">
        <f>SUM(F51:F57)</f>
        <v>0</v>
      </c>
      <c r="G58" s="44">
        <f>SUM(G51:G57)</f>
        <v>24</v>
      </c>
      <c r="H58" s="44">
        <f>SUM(H51:H57)</f>
        <v>0</v>
      </c>
      <c r="I58" s="44">
        <f t="shared" ref="I58" si="3">SUM(I51:I57)</f>
        <v>0</v>
      </c>
      <c r="J58" s="44">
        <f>SUM(J51:J57)</f>
        <v>3</v>
      </c>
      <c r="K58" s="48">
        <f>SUM(K50:K56)</f>
        <v>11</v>
      </c>
    </row>
    <row r="59" spans="1:15" ht="15.75" thickBot="1"/>
    <row r="60" spans="1:15" ht="21" customHeight="1">
      <c r="A60" s="2073" t="s">
        <v>44</v>
      </c>
      <c r="B60" s="540"/>
      <c r="C60" s="2074" t="s">
        <v>9</v>
      </c>
      <c r="D60" s="2417" t="s">
        <v>45</v>
      </c>
      <c r="E60" s="96" t="s">
        <v>6</v>
      </c>
      <c r="F60" s="541"/>
      <c r="G60" s="541"/>
      <c r="H60" s="541"/>
      <c r="I60" s="541"/>
      <c r="J60" s="541"/>
      <c r="K60" s="541"/>
      <c r="L60" s="542"/>
    </row>
    <row r="61" spans="1:15" ht="115.5" customHeight="1">
      <c r="A61" s="2616"/>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1898" t="s">
        <v>532</v>
      </c>
      <c r="B62" s="1899"/>
      <c r="C62" s="106">
        <v>2014</v>
      </c>
      <c r="D62" s="107"/>
      <c r="E62" s="108"/>
      <c r="F62" s="109"/>
      <c r="G62" s="109"/>
      <c r="H62" s="109"/>
      <c r="I62" s="109"/>
      <c r="J62" s="109"/>
      <c r="K62" s="109"/>
      <c r="L62" s="34"/>
      <c r="M62" s="7"/>
      <c r="N62" s="7"/>
      <c r="O62" s="7"/>
    </row>
    <row r="63" spans="1:15">
      <c r="A63" s="1891"/>
      <c r="B63" s="1899"/>
      <c r="C63" s="110">
        <v>2015</v>
      </c>
      <c r="D63" s="111">
        <v>2</v>
      </c>
      <c r="E63" s="112">
        <v>2</v>
      </c>
      <c r="F63" s="38"/>
      <c r="G63" s="38"/>
      <c r="H63" s="38"/>
      <c r="I63" s="38"/>
      <c r="J63" s="38"/>
      <c r="K63" s="38"/>
      <c r="L63" s="88"/>
      <c r="M63" s="7"/>
      <c r="N63" s="7"/>
      <c r="O63" s="7"/>
    </row>
    <row r="64" spans="1:15">
      <c r="A64" s="1891"/>
      <c r="B64" s="1899"/>
      <c r="C64" s="110">
        <v>2016</v>
      </c>
      <c r="D64" s="111"/>
      <c r="E64" s="112"/>
      <c r="F64" s="38"/>
      <c r="G64" s="38"/>
      <c r="H64" s="38"/>
      <c r="I64" s="38"/>
      <c r="J64" s="38"/>
      <c r="K64" s="38"/>
      <c r="L64" s="88"/>
      <c r="M64" s="7"/>
      <c r="N64" s="7"/>
      <c r="O64" s="7"/>
    </row>
    <row r="65" spans="1:20">
      <c r="A65" s="1891"/>
      <c r="B65" s="1899"/>
      <c r="C65" s="110">
        <v>2017</v>
      </c>
      <c r="D65" s="111"/>
      <c r="E65" s="112"/>
      <c r="F65" s="38"/>
      <c r="G65" s="38"/>
      <c r="H65" s="38"/>
      <c r="I65" s="38"/>
      <c r="J65" s="38"/>
      <c r="K65" s="38"/>
      <c r="L65" s="88"/>
      <c r="M65" s="7"/>
      <c r="N65" s="7"/>
      <c r="O65" s="7"/>
    </row>
    <row r="66" spans="1:20">
      <c r="A66" s="1891"/>
      <c r="B66" s="1899"/>
      <c r="C66" s="110">
        <v>2018</v>
      </c>
      <c r="D66" s="111"/>
      <c r="E66" s="112"/>
      <c r="F66" s="38"/>
      <c r="G66" s="38"/>
      <c r="H66" s="38"/>
      <c r="I66" s="38"/>
      <c r="J66" s="38"/>
      <c r="K66" s="38"/>
      <c r="L66" s="88"/>
      <c r="M66" s="7"/>
      <c r="N66" s="7"/>
      <c r="O66" s="7"/>
    </row>
    <row r="67" spans="1:20" ht="17.25" customHeight="1">
      <c r="A67" s="1891"/>
      <c r="B67" s="1899"/>
      <c r="C67" s="110">
        <v>2019</v>
      </c>
      <c r="D67" s="111"/>
      <c r="E67" s="112"/>
      <c r="F67" s="38"/>
      <c r="G67" s="38"/>
      <c r="H67" s="38"/>
      <c r="I67" s="38"/>
      <c r="J67" s="38"/>
      <c r="K67" s="38"/>
      <c r="L67" s="88"/>
      <c r="M67" s="7"/>
      <c r="N67" s="7"/>
      <c r="O67" s="7"/>
    </row>
    <row r="68" spans="1:20" ht="16.5" customHeight="1">
      <c r="A68" s="1891"/>
      <c r="B68" s="1899"/>
      <c r="C68" s="110">
        <v>2020</v>
      </c>
      <c r="D68" s="111"/>
      <c r="E68" s="112"/>
      <c r="F68" s="38"/>
      <c r="G68" s="38"/>
      <c r="H68" s="38"/>
      <c r="I68" s="38"/>
      <c r="J68" s="38"/>
      <c r="K68" s="38"/>
      <c r="L68" s="88"/>
      <c r="M68" s="78"/>
      <c r="N68" s="78"/>
      <c r="O68" s="78"/>
    </row>
    <row r="69" spans="1:20" ht="18" customHeight="1" thickBot="1">
      <c r="A69" s="1980"/>
      <c r="B69" s="1900"/>
      <c r="C69" s="113" t="s">
        <v>13</v>
      </c>
      <c r="D69" s="114">
        <f>SUM(D62:D68)</f>
        <v>2</v>
      </c>
      <c r="E69" s="115">
        <f>SUM(E62:E68)</f>
        <v>2</v>
      </c>
      <c r="F69" s="116">
        <f t="shared" ref="F69:I69" si="4">SUM(F62:F68)</f>
        <v>0</v>
      </c>
      <c r="G69" s="116">
        <f t="shared" si="4"/>
        <v>0</v>
      </c>
      <c r="H69" s="116">
        <f t="shared" si="4"/>
        <v>0</v>
      </c>
      <c r="I69" s="116">
        <f t="shared" si="4"/>
        <v>0</v>
      </c>
      <c r="J69" s="116"/>
      <c r="K69" s="116">
        <f>SUM(K62:K68)</f>
        <v>0</v>
      </c>
      <c r="L69" s="117">
        <f>SUM(L62:L68)</f>
        <v>0</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535" t="s">
        <v>47</v>
      </c>
      <c r="B71" s="536"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1874" t="s">
        <v>533</v>
      </c>
      <c r="B72" s="1899"/>
      <c r="C72" s="72">
        <v>2014</v>
      </c>
      <c r="D72" s="131"/>
      <c r="E72" s="131"/>
      <c r="F72" s="131"/>
      <c r="G72" s="132">
        <f>SUM(D72:F72)</f>
        <v>0</v>
      </c>
      <c r="H72" s="30"/>
      <c r="I72" s="133"/>
      <c r="J72" s="109"/>
      <c r="K72" s="109"/>
      <c r="L72" s="109"/>
      <c r="M72" s="109"/>
      <c r="N72" s="109"/>
      <c r="O72" s="134"/>
    </row>
    <row r="73" spans="1:20">
      <c r="A73" s="1854"/>
      <c r="B73" s="1899"/>
      <c r="C73" s="73">
        <v>2015</v>
      </c>
      <c r="D73" s="135"/>
      <c r="E73" s="135"/>
      <c r="F73" s="135"/>
      <c r="G73" s="132">
        <f t="shared" ref="G73:G78" si="5">SUM(D73:F73)</f>
        <v>0</v>
      </c>
      <c r="H73" s="37"/>
      <c r="I73" s="37"/>
      <c r="J73" s="38"/>
      <c r="K73" s="38"/>
      <c r="L73" s="38"/>
      <c r="M73" s="38"/>
      <c r="N73" s="38"/>
      <c r="O73" s="88"/>
    </row>
    <row r="74" spans="1:20">
      <c r="A74" s="1854"/>
      <c r="B74" s="1899"/>
      <c r="C74" s="73">
        <v>2016</v>
      </c>
      <c r="D74" s="135"/>
      <c r="E74" s="135"/>
      <c r="F74" s="135">
        <v>12</v>
      </c>
      <c r="G74" s="132">
        <f t="shared" si="5"/>
        <v>12</v>
      </c>
      <c r="H74" s="37">
        <v>12</v>
      </c>
      <c r="I74" s="37"/>
      <c r="J74" s="38"/>
      <c r="K74" s="38"/>
      <c r="L74" s="38"/>
      <c r="M74" s="38"/>
      <c r="N74" s="38"/>
      <c r="O74" s="88"/>
    </row>
    <row r="75" spans="1:20">
      <c r="A75" s="1854"/>
      <c r="B75" s="1899"/>
      <c r="C75" s="73">
        <v>2017</v>
      </c>
      <c r="D75" s="135"/>
      <c r="E75" s="135"/>
      <c r="F75" s="135">
        <v>58</v>
      </c>
      <c r="G75" s="132">
        <f t="shared" si="5"/>
        <v>58</v>
      </c>
      <c r="H75" s="37">
        <v>58</v>
      </c>
      <c r="I75" s="37"/>
      <c r="J75" s="38"/>
      <c r="K75" s="38"/>
      <c r="L75" s="38"/>
      <c r="M75" s="38"/>
      <c r="N75" s="38"/>
      <c r="O75" s="88"/>
    </row>
    <row r="76" spans="1:20">
      <c r="A76" s="1854"/>
      <c r="B76" s="1899"/>
      <c r="C76" s="73">
        <v>2018</v>
      </c>
      <c r="D76" s="135"/>
      <c r="E76" s="135"/>
      <c r="F76" s="135"/>
      <c r="G76" s="132">
        <f t="shared" si="5"/>
        <v>0</v>
      </c>
      <c r="H76" s="37"/>
      <c r="I76" s="37"/>
      <c r="J76" s="38"/>
      <c r="K76" s="38"/>
      <c r="L76" s="38"/>
      <c r="M76" s="38"/>
      <c r="N76" s="38"/>
      <c r="O76" s="88"/>
    </row>
    <row r="77" spans="1:20" ht="15.75" customHeight="1">
      <c r="A77" s="1854"/>
      <c r="B77" s="1899"/>
      <c r="C77" s="73">
        <v>2019</v>
      </c>
      <c r="D77" s="135"/>
      <c r="E77" s="135"/>
      <c r="F77" s="135"/>
      <c r="G77" s="132">
        <f t="shared" si="5"/>
        <v>0</v>
      </c>
      <c r="H77" s="37"/>
      <c r="I77" s="37"/>
      <c r="J77" s="38"/>
      <c r="K77" s="38"/>
      <c r="L77" s="38"/>
      <c r="M77" s="38"/>
      <c r="N77" s="38"/>
      <c r="O77" s="88"/>
    </row>
    <row r="78" spans="1:20" ht="17.25" customHeight="1">
      <c r="A78" s="1854"/>
      <c r="B78" s="1899"/>
      <c r="C78" s="73">
        <v>2020</v>
      </c>
      <c r="D78" s="135"/>
      <c r="E78" s="135"/>
      <c r="F78" s="135"/>
      <c r="G78" s="132">
        <f t="shared" si="5"/>
        <v>0</v>
      </c>
      <c r="H78" s="37"/>
      <c r="I78" s="37"/>
      <c r="J78" s="38"/>
      <c r="K78" s="38"/>
      <c r="L78" s="38"/>
      <c r="M78" s="38"/>
      <c r="N78" s="38"/>
      <c r="O78" s="88"/>
    </row>
    <row r="79" spans="1:20" ht="20.25" customHeight="1" thickBot="1">
      <c r="A79" s="1980"/>
      <c r="B79" s="1900"/>
      <c r="C79" s="136" t="s">
        <v>13</v>
      </c>
      <c r="D79" s="114">
        <f>SUM(D72:D78)</f>
        <v>0</v>
      </c>
      <c r="E79" s="114">
        <f>SUM(E72:E78)</f>
        <v>0</v>
      </c>
      <c r="F79" s="114">
        <f>SUM(F72:F78)</f>
        <v>70</v>
      </c>
      <c r="G79" s="137">
        <f>SUM(G72:G78)</f>
        <v>70</v>
      </c>
      <c r="H79" s="138">
        <v>43</v>
      </c>
      <c r="I79" s="139">
        <f t="shared" ref="I79:O79" si="6">SUM(I72:I78)</f>
        <v>0</v>
      </c>
      <c r="J79" s="116">
        <f t="shared" si="6"/>
        <v>0</v>
      </c>
      <c r="K79" s="116">
        <f t="shared" si="6"/>
        <v>0</v>
      </c>
      <c r="L79" s="116">
        <f t="shared" si="6"/>
        <v>0</v>
      </c>
      <c r="M79" s="116">
        <f t="shared" si="6"/>
        <v>0</v>
      </c>
      <c r="N79" s="116">
        <f t="shared" si="6"/>
        <v>0</v>
      </c>
      <c r="O79" s="117">
        <f t="shared" si="6"/>
        <v>0</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547" t="s">
        <v>56</v>
      </c>
      <c r="B84" s="548" t="s">
        <v>178</v>
      </c>
      <c r="C84" s="149" t="s">
        <v>9</v>
      </c>
      <c r="D84" s="150" t="s">
        <v>58</v>
      </c>
      <c r="E84" s="151" t="s">
        <v>59</v>
      </c>
      <c r="F84" s="152" t="s">
        <v>60</v>
      </c>
      <c r="G84" s="152" t="s">
        <v>61</v>
      </c>
      <c r="H84" s="152" t="s">
        <v>62</v>
      </c>
      <c r="I84" s="152" t="s">
        <v>63</v>
      </c>
      <c r="J84" s="152" t="s">
        <v>64</v>
      </c>
      <c r="K84" s="153" t="s">
        <v>65</v>
      </c>
    </row>
    <row r="85" spans="1:16" ht="15" customHeight="1">
      <c r="A85" s="1938"/>
      <c r="B85" s="1899"/>
      <c r="C85" s="72">
        <v>2014</v>
      </c>
      <c r="D85" s="154"/>
      <c r="E85" s="155"/>
      <c r="F85" s="31"/>
      <c r="G85" s="31"/>
      <c r="H85" s="31"/>
      <c r="I85" s="31"/>
      <c r="J85" s="31"/>
      <c r="K85" s="34"/>
    </row>
    <row r="86" spans="1:16">
      <c r="A86" s="1939"/>
      <c r="B86" s="1899"/>
      <c r="C86" s="73">
        <v>2015</v>
      </c>
      <c r="D86" s="156"/>
      <c r="E86" s="112"/>
      <c r="F86" s="38"/>
      <c r="G86" s="38"/>
      <c r="H86" s="38"/>
      <c r="I86" s="38"/>
      <c r="J86" s="38"/>
      <c r="K86" s="88"/>
    </row>
    <row r="87" spans="1:16">
      <c r="A87" s="1939"/>
      <c r="B87" s="1899"/>
      <c r="C87" s="73">
        <v>2016</v>
      </c>
      <c r="D87" s="156"/>
      <c r="E87" s="112"/>
      <c r="F87" s="38"/>
      <c r="G87" s="38"/>
      <c r="H87" s="38"/>
      <c r="I87" s="38"/>
      <c r="J87" s="38"/>
      <c r="K87" s="88"/>
    </row>
    <row r="88" spans="1:16">
      <c r="A88" s="1939"/>
      <c r="B88" s="1899"/>
      <c r="C88" s="73">
        <v>2017</v>
      </c>
      <c r="D88" s="156"/>
      <c r="E88" s="112"/>
      <c r="F88" s="38"/>
      <c r="G88" s="38"/>
      <c r="H88" s="38"/>
      <c r="I88" s="38"/>
      <c r="J88" s="38"/>
      <c r="K88" s="88"/>
    </row>
    <row r="89" spans="1:16">
      <c r="A89" s="1939"/>
      <c r="B89" s="1899"/>
      <c r="C89" s="73">
        <v>2018</v>
      </c>
      <c r="D89" s="156"/>
      <c r="E89" s="112"/>
      <c r="F89" s="38"/>
      <c r="G89" s="38"/>
      <c r="H89" s="38"/>
      <c r="I89" s="38"/>
      <c r="J89" s="38"/>
      <c r="K89" s="88"/>
    </row>
    <row r="90" spans="1:16">
      <c r="A90" s="1939"/>
      <c r="B90" s="1899"/>
      <c r="C90" s="73">
        <v>2019</v>
      </c>
      <c r="D90" s="156"/>
      <c r="E90" s="112"/>
      <c r="F90" s="38"/>
      <c r="G90" s="38"/>
      <c r="H90" s="38"/>
      <c r="I90" s="38"/>
      <c r="J90" s="38"/>
      <c r="K90" s="88"/>
    </row>
    <row r="91" spans="1:16">
      <c r="A91" s="1939"/>
      <c r="B91" s="1899"/>
      <c r="C91" s="73">
        <v>2020</v>
      </c>
      <c r="D91" s="156"/>
      <c r="E91" s="112"/>
      <c r="F91" s="38"/>
      <c r="G91" s="38"/>
      <c r="H91" s="38"/>
      <c r="I91" s="38"/>
      <c r="J91" s="38"/>
      <c r="K91" s="88"/>
    </row>
    <row r="92" spans="1:16" ht="18" customHeight="1" thickBot="1">
      <c r="A92" s="1940"/>
      <c r="B92" s="1900"/>
      <c r="C92" s="136" t="s">
        <v>13</v>
      </c>
      <c r="D92" s="157">
        <f t="shared" ref="D92:I92" si="7">SUM(D85:D91)</f>
        <v>0</v>
      </c>
      <c r="E92" s="115">
        <f t="shared" si="7"/>
        <v>0</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051" t="s">
        <v>68</v>
      </c>
      <c r="B96" s="2052" t="s">
        <v>179</v>
      </c>
      <c r="C96" s="2058" t="s">
        <v>9</v>
      </c>
      <c r="D96" s="1916" t="s">
        <v>70</v>
      </c>
      <c r="E96" s="1917"/>
      <c r="F96" s="162" t="s">
        <v>71</v>
      </c>
      <c r="G96" s="549"/>
      <c r="H96" s="549"/>
      <c r="I96" s="549"/>
      <c r="J96" s="549"/>
      <c r="K96" s="549"/>
      <c r="L96" s="549"/>
      <c r="M96" s="550"/>
      <c r="N96" s="165"/>
      <c r="O96" s="165"/>
      <c r="P96" s="165"/>
    </row>
    <row r="97" spans="1:16" ht="100.5" customHeight="1">
      <c r="A97" s="2604"/>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1898"/>
      <c r="B98" s="1899"/>
      <c r="C98" s="106">
        <v>2014</v>
      </c>
      <c r="D98" s="30"/>
      <c r="E98" s="31"/>
      <c r="F98" s="174"/>
      <c r="G98" s="175"/>
      <c r="H98" s="175"/>
      <c r="I98" s="175"/>
      <c r="J98" s="175"/>
      <c r="K98" s="175"/>
      <c r="L98" s="175"/>
      <c r="M98" s="176"/>
      <c r="N98" s="165"/>
      <c r="O98" s="165"/>
      <c r="P98" s="165"/>
    </row>
    <row r="99" spans="1:16" ht="16.5" customHeight="1">
      <c r="A99" s="1891"/>
      <c r="B99" s="1899"/>
      <c r="C99" s="110">
        <v>2015</v>
      </c>
      <c r="D99" s="37"/>
      <c r="E99" s="38"/>
      <c r="F99" s="177"/>
      <c r="G99" s="178"/>
      <c r="H99" s="178"/>
      <c r="I99" s="178"/>
      <c r="J99" s="178"/>
      <c r="K99" s="178"/>
      <c r="L99" s="178"/>
      <c r="M99" s="179"/>
      <c r="N99" s="165"/>
      <c r="O99" s="165"/>
      <c r="P99" s="165"/>
    </row>
    <row r="100" spans="1:16" ht="16.5" customHeight="1">
      <c r="A100" s="1891"/>
      <c r="B100" s="1899"/>
      <c r="C100" s="110">
        <v>2016</v>
      </c>
      <c r="D100" s="37"/>
      <c r="E100" s="38"/>
      <c r="F100" s="177"/>
      <c r="G100" s="178"/>
      <c r="H100" s="178"/>
      <c r="I100" s="178"/>
      <c r="J100" s="178"/>
      <c r="K100" s="178"/>
      <c r="L100" s="178"/>
      <c r="M100" s="179"/>
      <c r="N100" s="165"/>
      <c r="O100" s="165"/>
      <c r="P100" s="165"/>
    </row>
    <row r="101" spans="1:16" ht="16.5" customHeight="1">
      <c r="A101" s="1891"/>
      <c r="B101" s="1899"/>
      <c r="C101" s="110">
        <v>2017</v>
      </c>
      <c r="D101" s="37"/>
      <c r="E101" s="38"/>
      <c r="F101" s="177"/>
      <c r="G101" s="178"/>
      <c r="H101" s="178"/>
      <c r="I101" s="178"/>
      <c r="J101" s="178"/>
      <c r="K101" s="178"/>
      <c r="L101" s="178"/>
      <c r="M101" s="179"/>
      <c r="N101" s="165"/>
      <c r="O101" s="165"/>
      <c r="P101" s="165"/>
    </row>
    <row r="102" spans="1:16" ht="15.75" customHeight="1">
      <c r="A102" s="1891"/>
      <c r="B102" s="1899"/>
      <c r="C102" s="110">
        <v>2018</v>
      </c>
      <c r="D102" s="37"/>
      <c r="E102" s="38"/>
      <c r="F102" s="177"/>
      <c r="G102" s="178"/>
      <c r="H102" s="178"/>
      <c r="I102" s="178"/>
      <c r="J102" s="178"/>
      <c r="K102" s="178"/>
      <c r="L102" s="178"/>
      <c r="M102" s="179"/>
      <c r="N102" s="165"/>
      <c r="O102" s="165"/>
      <c r="P102" s="165"/>
    </row>
    <row r="103" spans="1:16" ht="14.25" customHeight="1">
      <c r="A103" s="1891"/>
      <c r="B103" s="1899"/>
      <c r="C103" s="110">
        <v>2019</v>
      </c>
      <c r="D103" s="37"/>
      <c r="E103" s="38"/>
      <c r="F103" s="177"/>
      <c r="G103" s="178"/>
      <c r="H103" s="178"/>
      <c r="I103" s="178"/>
      <c r="J103" s="178"/>
      <c r="K103" s="178"/>
      <c r="L103" s="178"/>
      <c r="M103" s="179"/>
      <c r="N103" s="165"/>
      <c r="O103" s="165"/>
      <c r="P103" s="165"/>
    </row>
    <row r="104" spans="1:16" ht="14.25" customHeight="1">
      <c r="A104" s="1891"/>
      <c r="B104" s="1899"/>
      <c r="C104" s="110">
        <v>2020</v>
      </c>
      <c r="D104" s="37"/>
      <c r="E104" s="38"/>
      <c r="F104" s="177"/>
      <c r="G104" s="178"/>
      <c r="H104" s="178"/>
      <c r="I104" s="178"/>
      <c r="J104" s="178"/>
      <c r="K104" s="178"/>
      <c r="L104" s="178"/>
      <c r="M104" s="179"/>
      <c r="N104" s="165"/>
      <c r="O104" s="165"/>
      <c r="P104" s="165"/>
    </row>
    <row r="105" spans="1:16" ht="19.5" customHeight="1" thickBot="1">
      <c r="A105" s="1915"/>
      <c r="B105" s="1900"/>
      <c r="C105" s="113" t="s">
        <v>13</v>
      </c>
      <c r="D105" s="139">
        <f>SUM(D98:D104)</f>
        <v>0</v>
      </c>
      <c r="E105" s="116">
        <f t="shared" ref="E105:K105" si="8">SUM(E98:E104)</f>
        <v>0</v>
      </c>
      <c r="F105" s="180">
        <f t="shared" si="8"/>
        <v>0</v>
      </c>
      <c r="G105" s="181">
        <f t="shared" si="8"/>
        <v>0</v>
      </c>
      <c r="H105" s="181">
        <f t="shared" si="8"/>
        <v>0</v>
      </c>
      <c r="I105" s="181">
        <f>SUM(I98:I104)</f>
        <v>0</v>
      </c>
      <c r="J105" s="181">
        <f t="shared" si="8"/>
        <v>0</v>
      </c>
      <c r="K105" s="181">
        <f t="shared" si="8"/>
        <v>0</v>
      </c>
      <c r="L105" s="181">
        <f>SUM(L98:L104)</f>
        <v>0</v>
      </c>
      <c r="M105" s="182">
        <f>SUM(M98:M104)</f>
        <v>0</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051" t="s">
        <v>77</v>
      </c>
      <c r="B107" s="2052" t="s">
        <v>179</v>
      </c>
      <c r="C107" s="2058" t="s">
        <v>9</v>
      </c>
      <c r="D107" s="2414" t="s">
        <v>78</v>
      </c>
      <c r="E107" s="162" t="s">
        <v>79</v>
      </c>
      <c r="F107" s="549"/>
      <c r="G107" s="549"/>
      <c r="H107" s="549"/>
      <c r="I107" s="549"/>
      <c r="J107" s="549"/>
      <c r="K107" s="549"/>
      <c r="L107" s="550"/>
      <c r="M107" s="185"/>
      <c r="N107" s="185"/>
    </row>
    <row r="108" spans="1:16" ht="103.5" customHeight="1">
      <c r="A108" s="2604"/>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1898" t="s">
        <v>534</v>
      </c>
      <c r="B109" s="1899"/>
      <c r="C109" s="106">
        <v>2014</v>
      </c>
      <c r="D109" s="31"/>
      <c r="E109" s="174"/>
      <c r="F109" s="175"/>
      <c r="G109" s="175"/>
      <c r="H109" s="175"/>
      <c r="I109" s="175"/>
      <c r="J109" s="175"/>
      <c r="K109" s="175"/>
      <c r="L109" s="176"/>
      <c r="M109" s="185"/>
      <c r="N109" s="185"/>
    </row>
    <row r="110" spans="1:16">
      <c r="A110" s="1891"/>
      <c r="B110" s="1899"/>
      <c r="C110" s="110">
        <v>2015</v>
      </c>
      <c r="D110" s="38"/>
      <c r="E110" s="177"/>
      <c r="F110" s="178"/>
      <c r="G110" s="178"/>
      <c r="H110" s="178"/>
      <c r="I110" s="178"/>
      <c r="J110" s="178"/>
      <c r="K110" s="178"/>
      <c r="L110" s="179"/>
      <c r="M110" s="185"/>
      <c r="N110" s="185"/>
    </row>
    <row r="111" spans="1:16">
      <c r="A111" s="1891"/>
      <c r="B111" s="1899"/>
      <c r="C111" s="110">
        <v>2016</v>
      </c>
      <c r="D111" s="38">
        <v>6</v>
      </c>
      <c r="E111" s="177">
        <v>6</v>
      </c>
      <c r="F111" s="178"/>
      <c r="G111" s="178"/>
      <c r="H111" s="178"/>
      <c r="I111" s="178"/>
      <c r="J111" s="178"/>
      <c r="K111" s="178"/>
      <c r="L111" s="179"/>
      <c r="M111" s="185"/>
      <c r="N111" s="185"/>
    </row>
    <row r="112" spans="1:16">
      <c r="A112" s="1891"/>
      <c r="B112" s="1899"/>
      <c r="C112" s="110">
        <v>2017</v>
      </c>
      <c r="D112" s="38">
        <v>11</v>
      </c>
      <c r="E112" s="177">
        <v>11</v>
      </c>
      <c r="F112" s="178"/>
      <c r="G112" s="178"/>
      <c r="H112" s="178"/>
      <c r="I112" s="178"/>
      <c r="J112" s="178"/>
      <c r="K112" s="178"/>
      <c r="L112" s="179"/>
      <c r="M112" s="185"/>
      <c r="N112" s="185"/>
    </row>
    <row r="113" spans="1:14">
      <c r="A113" s="1891"/>
      <c r="B113" s="1899"/>
      <c r="C113" s="110">
        <v>2018</v>
      </c>
      <c r="D113" s="38"/>
      <c r="E113" s="177"/>
      <c r="F113" s="178"/>
      <c r="G113" s="178"/>
      <c r="H113" s="178"/>
      <c r="I113" s="178"/>
      <c r="J113" s="178"/>
      <c r="K113" s="178"/>
      <c r="L113" s="179"/>
      <c r="M113" s="185"/>
      <c r="N113" s="185"/>
    </row>
    <row r="114" spans="1:14">
      <c r="A114" s="1891"/>
      <c r="B114" s="1899"/>
      <c r="C114" s="110">
        <v>2019</v>
      </c>
      <c r="D114" s="38"/>
      <c r="E114" s="177"/>
      <c r="F114" s="178"/>
      <c r="G114" s="178"/>
      <c r="H114" s="178"/>
      <c r="I114" s="178"/>
      <c r="J114" s="178"/>
      <c r="K114" s="178"/>
      <c r="L114" s="179"/>
      <c r="M114" s="185"/>
      <c r="N114" s="185"/>
    </row>
    <row r="115" spans="1:14">
      <c r="A115" s="1891"/>
      <c r="B115" s="1899"/>
      <c r="C115" s="110">
        <v>2020</v>
      </c>
      <c r="D115" s="38"/>
      <c r="E115" s="177"/>
      <c r="F115" s="178"/>
      <c r="G115" s="178"/>
      <c r="H115" s="178"/>
      <c r="I115" s="178"/>
      <c r="J115" s="178"/>
      <c r="K115" s="178"/>
      <c r="L115" s="179"/>
      <c r="M115" s="185"/>
      <c r="N115" s="185"/>
    </row>
    <row r="116" spans="1:14" ht="25.5" customHeight="1" thickBot="1">
      <c r="A116" s="1915"/>
      <c r="B116" s="1900"/>
      <c r="C116" s="113" t="s">
        <v>13</v>
      </c>
      <c r="D116" s="116">
        <f t="shared" ref="D116:I116" si="9">SUM(D109:D115)</f>
        <v>17</v>
      </c>
      <c r="E116" s="180">
        <f t="shared" si="9"/>
        <v>17</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051" t="s">
        <v>81</v>
      </c>
      <c r="B118" s="2052" t="s">
        <v>179</v>
      </c>
      <c r="C118" s="2058" t="s">
        <v>9</v>
      </c>
      <c r="D118" s="2414" t="s">
        <v>82</v>
      </c>
      <c r="E118" s="162" t="s">
        <v>79</v>
      </c>
      <c r="F118" s="549"/>
      <c r="G118" s="549"/>
      <c r="H118" s="549"/>
      <c r="I118" s="549"/>
      <c r="J118" s="549"/>
      <c r="K118" s="549"/>
      <c r="L118" s="550"/>
      <c r="M118" s="185"/>
      <c r="N118" s="185"/>
    </row>
    <row r="119" spans="1:14" ht="120.75" customHeight="1">
      <c r="A119" s="2604"/>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1898"/>
      <c r="B120" s="1899"/>
      <c r="C120" s="106">
        <v>2014</v>
      </c>
      <c r="D120" s="31"/>
      <c r="E120" s="174"/>
      <c r="F120" s="175"/>
      <c r="G120" s="175"/>
      <c r="H120" s="175"/>
      <c r="I120" s="175"/>
      <c r="J120" s="175"/>
      <c r="K120" s="175"/>
      <c r="L120" s="176"/>
      <c r="M120" s="185"/>
      <c r="N120" s="185"/>
    </row>
    <row r="121" spans="1:14">
      <c r="A121" s="1891"/>
      <c r="B121" s="1899"/>
      <c r="C121" s="110">
        <v>2015</v>
      </c>
      <c r="D121" s="38"/>
      <c r="E121" s="177"/>
      <c r="F121" s="178"/>
      <c r="G121" s="178"/>
      <c r="H121" s="178"/>
      <c r="I121" s="178"/>
      <c r="J121" s="178"/>
      <c r="K121" s="178"/>
      <c r="L121" s="179"/>
      <c r="M121" s="185"/>
      <c r="N121" s="185"/>
    </row>
    <row r="122" spans="1:14">
      <c r="A122" s="1891"/>
      <c r="B122" s="1899"/>
      <c r="C122" s="110">
        <v>2016</v>
      </c>
      <c r="D122" s="38"/>
      <c r="E122" s="177"/>
      <c r="F122" s="178"/>
      <c r="G122" s="178"/>
      <c r="H122" s="178"/>
      <c r="I122" s="178"/>
      <c r="J122" s="178"/>
      <c r="K122" s="178"/>
      <c r="L122" s="179"/>
      <c r="M122" s="185"/>
      <c r="N122" s="185"/>
    </row>
    <row r="123" spans="1:14">
      <c r="A123" s="1891"/>
      <c r="B123" s="1899"/>
      <c r="C123" s="110">
        <v>2017</v>
      </c>
      <c r="D123" s="38"/>
      <c r="E123" s="177"/>
      <c r="F123" s="178"/>
      <c r="G123" s="178"/>
      <c r="H123" s="178"/>
      <c r="I123" s="178"/>
      <c r="J123" s="178"/>
      <c r="K123" s="178"/>
      <c r="L123" s="179"/>
      <c r="M123" s="185"/>
      <c r="N123" s="185"/>
    </row>
    <row r="124" spans="1:14">
      <c r="A124" s="1891"/>
      <c r="B124" s="1899"/>
      <c r="C124" s="110">
        <v>2018</v>
      </c>
      <c r="D124" s="38"/>
      <c r="E124" s="177"/>
      <c r="F124" s="178"/>
      <c r="G124" s="178"/>
      <c r="H124" s="178"/>
      <c r="I124" s="178"/>
      <c r="J124" s="178"/>
      <c r="K124" s="178"/>
      <c r="L124" s="179"/>
      <c r="M124" s="185"/>
      <c r="N124" s="185"/>
    </row>
    <row r="125" spans="1:14">
      <c r="A125" s="1891"/>
      <c r="B125" s="1899"/>
      <c r="C125" s="110">
        <v>2019</v>
      </c>
      <c r="D125" s="38"/>
      <c r="E125" s="177"/>
      <c r="F125" s="178"/>
      <c r="G125" s="178"/>
      <c r="H125" s="178"/>
      <c r="I125" s="178"/>
      <c r="J125" s="178"/>
      <c r="K125" s="178"/>
      <c r="L125" s="179"/>
      <c r="M125" s="185"/>
      <c r="N125" s="185"/>
    </row>
    <row r="126" spans="1:14">
      <c r="A126" s="1891"/>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051" t="s">
        <v>84</v>
      </c>
      <c r="B129" s="2052" t="s">
        <v>179</v>
      </c>
      <c r="C129" s="1534" t="s">
        <v>9</v>
      </c>
      <c r="D129" s="189" t="s">
        <v>85</v>
      </c>
      <c r="E129" s="553"/>
      <c r="F129" s="553"/>
      <c r="G129" s="191"/>
      <c r="H129" s="185"/>
      <c r="I129" s="185"/>
      <c r="J129" s="185"/>
      <c r="K129" s="185"/>
      <c r="L129" s="185"/>
      <c r="M129" s="185"/>
      <c r="N129" s="185"/>
    </row>
    <row r="130" spans="1:16" ht="77.25" customHeight="1">
      <c r="A130" s="2604"/>
      <c r="B130" s="1912"/>
      <c r="C130" s="1528"/>
      <c r="D130" s="166" t="s">
        <v>86</v>
      </c>
      <c r="E130" s="193" t="s">
        <v>87</v>
      </c>
      <c r="F130" s="167" t="s">
        <v>88</v>
      </c>
      <c r="G130" s="194" t="s">
        <v>13</v>
      </c>
      <c r="H130" s="185"/>
      <c r="I130" s="185"/>
      <c r="J130" s="185"/>
      <c r="K130" s="185"/>
      <c r="L130" s="185"/>
      <c r="M130" s="185"/>
      <c r="N130" s="185"/>
    </row>
    <row r="131" spans="1:16" ht="15" customHeight="1">
      <c r="A131" s="1874"/>
      <c r="B131" s="1855"/>
      <c r="C131" s="106">
        <v>2015</v>
      </c>
      <c r="D131" s="30"/>
      <c r="E131" s="31"/>
      <c r="F131" s="31"/>
      <c r="G131" s="195">
        <f t="shared" ref="G131:G136" si="11">SUM(D131:F131)</f>
        <v>0</v>
      </c>
      <c r="H131" s="185"/>
      <c r="I131" s="185"/>
      <c r="J131" s="185"/>
      <c r="K131" s="185"/>
      <c r="L131" s="185"/>
      <c r="M131" s="185"/>
      <c r="N131" s="185"/>
    </row>
    <row r="132" spans="1:16">
      <c r="A132" s="1854"/>
      <c r="B132" s="1855"/>
      <c r="C132" s="110">
        <v>2016</v>
      </c>
      <c r="D132" s="37"/>
      <c r="E132" s="38"/>
      <c r="F132" s="38"/>
      <c r="G132" s="195">
        <f t="shared" si="11"/>
        <v>0</v>
      </c>
      <c r="H132" s="185"/>
      <c r="I132" s="185"/>
      <c r="J132" s="185"/>
      <c r="K132" s="185"/>
      <c r="L132" s="185"/>
      <c r="M132" s="185"/>
      <c r="N132" s="185"/>
    </row>
    <row r="133" spans="1:16">
      <c r="A133" s="1854"/>
      <c r="B133" s="1855"/>
      <c r="C133" s="110">
        <v>2017</v>
      </c>
      <c r="D133" s="37"/>
      <c r="E133" s="38"/>
      <c r="F133" s="38"/>
      <c r="G133" s="195">
        <f t="shared" si="11"/>
        <v>0</v>
      </c>
      <c r="H133" s="185"/>
      <c r="I133" s="185"/>
      <c r="J133" s="185"/>
      <c r="K133" s="185"/>
      <c r="L133" s="185"/>
      <c r="M133" s="185"/>
      <c r="N133" s="185"/>
    </row>
    <row r="134" spans="1:16">
      <c r="A134" s="1854"/>
      <c r="B134" s="1855"/>
      <c r="C134" s="110">
        <v>2018</v>
      </c>
      <c r="D134" s="37"/>
      <c r="E134" s="38"/>
      <c r="F134" s="38"/>
      <c r="G134" s="195">
        <f t="shared" si="11"/>
        <v>0</v>
      </c>
      <c r="H134" s="185"/>
      <c r="I134" s="185"/>
      <c r="J134" s="185"/>
      <c r="K134" s="185"/>
      <c r="L134" s="185"/>
      <c r="M134" s="185"/>
      <c r="N134" s="185"/>
    </row>
    <row r="135" spans="1:16">
      <c r="A135" s="1854"/>
      <c r="B135" s="1855"/>
      <c r="C135" s="110">
        <v>2019</v>
      </c>
      <c r="D135" s="37"/>
      <c r="E135" s="38"/>
      <c r="F135" s="38"/>
      <c r="G135" s="195">
        <f t="shared" si="11"/>
        <v>0</v>
      </c>
      <c r="H135" s="185"/>
      <c r="I135" s="185"/>
      <c r="J135" s="185"/>
      <c r="K135" s="185"/>
      <c r="L135" s="185"/>
      <c r="M135" s="185"/>
      <c r="N135" s="185"/>
    </row>
    <row r="136" spans="1:16">
      <c r="A136" s="1854"/>
      <c r="B136" s="1855"/>
      <c r="C136" s="110">
        <v>2020</v>
      </c>
      <c r="D136" s="37"/>
      <c r="E136" s="38"/>
      <c r="F136" s="38"/>
      <c r="G136" s="195">
        <f t="shared" si="11"/>
        <v>0</v>
      </c>
      <c r="H136" s="185"/>
      <c r="I136" s="185"/>
      <c r="J136" s="185"/>
      <c r="K136" s="185"/>
      <c r="L136" s="185"/>
      <c r="M136" s="185"/>
      <c r="N136" s="185"/>
    </row>
    <row r="137" spans="1:16" ht="17.25" customHeight="1" thickBot="1">
      <c r="A137" s="1856"/>
      <c r="B137" s="1857"/>
      <c r="C137" s="113" t="s">
        <v>13</v>
      </c>
      <c r="D137" s="139">
        <f>SUM(D131:D136)</f>
        <v>0</v>
      </c>
      <c r="E137" s="139">
        <f t="shared" ref="E137:F137" si="12">SUM(E131:E136)</f>
        <v>0</v>
      </c>
      <c r="F137" s="139">
        <f t="shared" si="12"/>
        <v>0</v>
      </c>
      <c r="G137" s="196">
        <f>SUM(G131:G136)</f>
        <v>0</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050" t="s">
        <v>91</v>
      </c>
      <c r="B142" s="2048" t="s">
        <v>179</v>
      </c>
      <c r="C142" s="2043" t="s">
        <v>9</v>
      </c>
      <c r="D142" s="554" t="s">
        <v>92</v>
      </c>
      <c r="E142" s="555"/>
      <c r="F142" s="555"/>
      <c r="G142" s="555"/>
      <c r="H142" s="555"/>
      <c r="I142" s="556"/>
      <c r="J142" s="2044" t="s">
        <v>93</v>
      </c>
      <c r="K142" s="2045"/>
      <c r="L142" s="2045"/>
      <c r="M142" s="2045"/>
      <c r="N142" s="2046"/>
      <c r="O142" s="165"/>
      <c r="P142" s="165"/>
    </row>
    <row r="143" spans="1:16" ht="113.25" customHeight="1">
      <c r="A143" s="2606"/>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c r="B144" s="1899"/>
      <c r="C144" s="106">
        <v>2014</v>
      </c>
      <c r="D144" s="30"/>
      <c r="E144" s="30"/>
      <c r="F144" s="31"/>
      <c r="G144" s="175"/>
      <c r="H144" s="175"/>
      <c r="I144" s="213">
        <f>D144+F144+G144+H144</f>
        <v>0</v>
      </c>
      <c r="J144" s="214"/>
      <c r="K144" s="215"/>
      <c r="L144" s="214"/>
      <c r="M144" s="215"/>
      <c r="N144" s="216"/>
      <c r="O144" s="165"/>
      <c r="P144" s="165"/>
    </row>
    <row r="145" spans="1:16" ht="19.5" customHeight="1">
      <c r="A145" s="1891"/>
      <c r="B145" s="1899"/>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1891"/>
      <c r="B146" s="1899"/>
      <c r="C146" s="110">
        <v>2016</v>
      </c>
      <c r="D146" s="37"/>
      <c r="E146" s="37"/>
      <c r="F146" s="38"/>
      <c r="G146" s="178"/>
      <c r="H146" s="178"/>
      <c r="I146" s="213">
        <f t="shared" si="13"/>
        <v>0</v>
      </c>
      <c r="J146" s="217"/>
      <c r="K146" s="218"/>
      <c r="L146" s="217"/>
      <c r="M146" s="218"/>
      <c r="N146" s="219"/>
      <c r="O146" s="165"/>
      <c r="P146" s="165"/>
    </row>
    <row r="147" spans="1:16" ht="17.25" customHeight="1">
      <c r="A147" s="1891"/>
      <c r="B147" s="1899"/>
      <c r="C147" s="110">
        <v>2017</v>
      </c>
      <c r="D147" s="37"/>
      <c r="E147" s="37"/>
      <c r="F147" s="38"/>
      <c r="G147" s="178"/>
      <c r="H147" s="178"/>
      <c r="I147" s="213">
        <f t="shared" si="13"/>
        <v>0</v>
      </c>
      <c r="J147" s="217"/>
      <c r="K147" s="218"/>
      <c r="L147" s="217"/>
      <c r="M147" s="218"/>
      <c r="N147" s="219"/>
      <c r="O147" s="165"/>
      <c r="P147" s="165"/>
    </row>
    <row r="148" spans="1:16" ht="19.5" customHeight="1">
      <c r="A148" s="1891"/>
      <c r="B148" s="1899"/>
      <c r="C148" s="110">
        <v>2018</v>
      </c>
      <c r="D148" s="37"/>
      <c r="E148" s="37"/>
      <c r="F148" s="38"/>
      <c r="G148" s="178"/>
      <c r="H148" s="178"/>
      <c r="I148" s="213">
        <f t="shared" si="13"/>
        <v>0</v>
      </c>
      <c r="J148" s="217"/>
      <c r="K148" s="218"/>
      <c r="L148" s="217"/>
      <c r="M148" s="218"/>
      <c r="N148" s="219"/>
      <c r="O148" s="165"/>
      <c r="P148" s="165"/>
    </row>
    <row r="149" spans="1:16" ht="19.5" customHeight="1">
      <c r="A149" s="1891"/>
      <c r="B149" s="1899"/>
      <c r="C149" s="110">
        <v>2019</v>
      </c>
      <c r="D149" s="37"/>
      <c r="E149" s="37"/>
      <c r="F149" s="38"/>
      <c r="G149" s="178"/>
      <c r="H149" s="178"/>
      <c r="I149" s="213">
        <f t="shared" si="13"/>
        <v>0</v>
      </c>
      <c r="J149" s="217"/>
      <c r="K149" s="218"/>
      <c r="L149" s="217"/>
      <c r="M149" s="218"/>
      <c r="N149" s="219"/>
      <c r="O149" s="165"/>
      <c r="P149" s="165"/>
    </row>
    <row r="150" spans="1:16" ht="18.75" customHeight="1">
      <c r="A150" s="1891"/>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2047" t="s">
        <v>105</v>
      </c>
      <c r="B153" s="2048" t="s">
        <v>179</v>
      </c>
      <c r="C153" s="2049" t="s">
        <v>9</v>
      </c>
      <c r="D153" s="557" t="s">
        <v>106</v>
      </c>
      <c r="E153" s="557"/>
      <c r="F153" s="558"/>
      <c r="G153" s="558"/>
      <c r="H153" s="557" t="s">
        <v>107</v>
      </c>
      <c r="I153" s="557"/>
      <c r="J153" s="559"/>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1898"/>
      <c r="B155" s="1899"/>
      <c r="C155" s="233">
        <v>2014</v>
      </c>
      <c r="D155" s="214"/>
      <c r="E155" s="175"/>
      <c r="F155" s="215"/>
      <c r="G155" s="213">
        <f>SUM(D155:F155)</f>
        <v>0</v>
      </c>
      <c r="H155" s="214"/>
      <c r="I155" s="175"/>
      <c r="J155" s="176"/>
      <c r="O155" s="165"/>
      <c r="P155" s="165"/>
    </row>
    <row r="156" spans="1:16" ht="19.5" customHeight="1">
      <c r="A156" s="1891"/>
      <c r="B156" s="1899"/>
      <c r="C156" s="234">
        <v>2015</v>
      </c>
      <c r="D156" s="217"/>
      <c r="E156" s="178"/>
      <c r="F156" s="218"/>
      <c r="G156" s="213">
        <f t="shared" ref="G156:G161" si="15">SUM(D156:F156)</f>
        <v>0</v>
      </c>
      <c r="H156" s="217"/>
      <c r="I156" s="178"/>
      <c r="J156" s="179"/>
      <c r="O156" s="165"/>
      <c r="P156" s="165"/>
    </row>
    <row r="157" spans="1:16" ht="17.25" customHeight="1">
      <c r="A157" s="1891"/>
      <c r="B157" s="1899"/>
      <c r="C157" s="234">
        <v>2016</v>
      </c>
      <c r="D157" s="217"/>
      <c r="E157" s="178"/>
      <c r="F157" s="218"/>
      <c r="G157" s="213">
        <f t="shared" si="15"/>
        <v>0</v>
      </c>
      <c r="H157" s="217"/>
      <c r="I157" s="178"/>
      <c r="J157" s="179"/>
      <c r="O157" s="165"/>
      <c r="P157" s="165"/>
    </row>
    <row r="158" spans="1:16" ht="15" customHeight="1">
      <c r="A158" s="1891"/>
      <c r="B158" s="1899"/>
      <c r="C158" s="234">
        <v>2017</v>
      </c>
      <c r="D158" s="217"/>
      <c r="E158" s="178"/>
      <c r="F158" s="218"/>
      <c r="G158" s="213">
        <f t="shared" si="15"/>
        <v>0</v>
      </c>
      <c r="H158" s="217"/>
      <c r="I158" s="178"/>
      <c r="J158" s="179"/>
      <c r="O158" s="165"/>
      <c r="P158" s="165"/>
    </row>
    <row r="159" spans="1:16" ht="19.5" customHeight="1">
      <c r="A159" s="1891"/>
      <c r="B159" s="1899"/>
      <c r="C159" s="234">
        <v>2018</v>
      </c>
      <c r="D159" s="217"/>
      <c r="E159" s="178"/>
      <c r="F159" s="218"/>
      <c r="G159" s="213">
        <f t="shared" si="15"/>
        <v>0</v>
      </c>
      <c r="H159" s="217"/>
      <c r="I159" s="178"/>
      <c r="J159" s="179"/>
      <c r="O159" s="165"/>
      <c r="P159" s="165"/>
    </row>
    <row r="160" spans="1:16" ht="15" customHeight="1">
      <c r="A160" s="1891"/>
      <c r="B160" s="1899"/>
      <c r="C160" s="234">
        <v>2019</v>
      </c>
      <c r="D160" s="217"/>
      <c r="E160" s="178"/>
      <c r="F160" s="218"/>
      <c r="G160" s="213">
        <f t="shared" si="15"/>
        <v>0</v>
      </c>
      <c r="H160" s="217"/>
      <c r="I160" s="178"/>
      <c r="J160" s="179"/>
      <c r="O160" s="165"/>
      <c r="P160" s="165"/>
    </row>
    <row r="161" spans="1:18" ht="17.25" customHeight="1">
      <c r="A161" s="1891"/>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560"/>
      <c r="F163" s="165"/>
      <c r="G163" s="165"/>
      <c r="H163" s="165"/>
      <c r="I163" s="165"/>
      <c r="J163" s="241"/>
      <c r="K163" s="242"/>
    </row>
    <row r="164" spans="1:18" ht="95.25" customHeight="1">
      <c r="A164" s="243" t="s">
        <v>115</v>
      </c>
      <c r="B164" s="405" t="s">
        <v>181</v>
      </c>
      <c r="C164" s="1567" t="s">
        <v>9</v>
      </c>
      <c r="D164" s="246" t="s">
        <v>117</v>
      </c>
      <c r="E164" s="246" t="s">
        <v>118</v>
      </c>
      <c r="F164" s="561" t="s">
        <v>119</v>
      </c>
      <c r="G164" s="246" t="s">
        <v>120</v>
      </c>
      <c r="H164" s="246" t="s">
        <v>121</v>
      </c>
      <c r="I164" s="248" t="s">
        <v>122</v>
      </c>
      <c r="J164" s="249" t="s">
        <v>123</v>
      </c>
      <c r="K164" s="249" t="s">
        <v>124</v>
      </c>
      <c r="L164" s="1531"/>
    </row>
    <row r="165" spans="1:18" ht="15.75" customHeight="1">
      <c r="A165" s="1878"/>
      <c r="B165" s="1879"/>
      <c r="C165" s="251">
        <v>2014</v>
      </c>
      <c r="D165" s="175"/>
      <c r="E165" s="175"/>
      <c r="F165" s="175"/>
      <c r="G165" s="175"/>
      <c r="H165" s="175"/>
      <c r="I165" s="176"/>
      <c r="J165" s="1683">
        <f>SUM(D165,F165,H165)</f>
        <v>0</v>
      </c>
      <c r="K165" s="253">
        <f>SUM(E165,G165,I165)</f>
        <v>0</v>
      </c>
      <c r="L165" s="1531"/>
    </row>
    <row r="166" spans="1:18">
      <c r="A166" s="1880"/>
      <c r="B166" s="1881"/>
      <c r="C166" s="254">
        <v>2015</v>
      </c>
      <c r="D166" s="255"/>
      <c r="E166" s="255"/>
      <c r="F166" s="255"/>
      <c r="G166" s="255"/>
      <c r="H166" s="255"/>
      <c r="I166" s="256"/>
      <c r="J166" s="1684">
        <f t="shared" ref="J166:K171" si="17">SUM(D166,F166,H166)</f>
        <v>0</v>
      </c>
      <c r="K166" s="408">
        <f t="shared" si="17"/>
        <v>0</v>
      </c>
      <c r="L166" s="1531"/>
    </row>
    <row r="167" spans="1:18">
      <c r="A167" s="1880"/>
      <c r="B167" s="1881"/>
      <c r="C167" s="254">
        <v>2016</v>
      </c>
      <c r="D167" s="255"/>
      <c r="E167" s="255"/>
      <c r="F167" s="255"/>
      <c r="G167" s="255"/>
      <c r="H167" s="255"/>
      <c r="I167" s="256"/>
      <c r="J167" s="1684">
        <f t="shared" si="17"/>
        <v>0</v>
      </c>
      <c r="K167" s="408">
        <f t="shared" si="17"/>
        <v>0</v>
      </c>
    </row>
    <row r="168" spans="1:18">
      <c r="A168" s="1880"/>
      <c r="B168" s="1881"/>
      <c r="C168" s="254">
        <v>2017</v>
      </c>
      <c r="D168" s="255"/>
      <c r="E168" s="165"/>
      <c r="F168" s="255"/>
      <c r="G168" s="255"/>
      <c r="H168" s="255"/>
      <c r="I168" s="256"/>
      <c r="J168" s="1684">
        <f t="shared" si="17"/>
        <v>0</v>
      </c>
      <c r="K168" s="408">
        <f t="shared" si="17"/>
        <v>0</v>
      </c>
    </row>
    <row r="169" spans="1:18">
      <c r="A169" s="1880"/>
      <c r="B169" s="1881"/>
      <c r="C169" s="262">
        <v>2018</v>
      </c>
      <c r="D169" s="255"/>
      <c r="E169" s="255"/>
      <c r="F169" s="255"/>
      <c r="G169" s="263"/>
      <c r="H169" s="255"/>
      <c r="I169" s="256"/>
      <c r="J169" s="1684">
        <f t="shared" si="17"/>
        <v>0</v>
      </c>
      <c r="K169" s="408">
        <f t="shared" si="17"/>
        <v>0</v>
      </c>
      <c r="L169" s="1531"/>
    </row>
    <row r="170" spans="1:18">
      <c r="A170" s="1880"/>
      <c r="B170" s="1881"/>
      <c r="C170" s="254">
        <v>2019</v>
      </c>
      <c r="D170" s="165"/>
      <c r="E170" s="255"/>
      <c r="F170" s="255"/>
      <c r="G170" s="255"/>
      <c r="H170" s="263"/>
      <c r="I170" s="256"/>
      <c r="J170" s="1684">
        <f t="shared" si="17"/>
        <v>0</v>
      </c>
      <c r="K170" s="408">
        <f t="shared" si="17"/>
        <v>0</v>
      </c>
      <c r="L170" s="1531"/>
    </row>
    <row r="171" spans="1:18">
      <c r="A171" s="1880"/>
      <c r="B171" s="1881"/>
      <c r="C171" s="262">
        <v>2020</v>
      </c>
      <c r="D171" s="255"/>
      <c r="E171" s="255"/>
      <c r="F171" s="255"/>
      <c r="G171" s="255"/>
      <c r="H171" s="255"/>
      <c r="I171" s="256"/>
      <c r="J171" s="1684">
        <f t="shared" si="17"/>
        <v>0</v>
      </c>
      <c r="K171" s="408">
        <f t="shared" si="17"/>
        <v>0</v>
      </c>
      <c r="L171" s="1531"/>
    </row>
    <row r="172" spans="1:18" ht="41.25" customHeight="1" thickBot="1">
      <c r="A172" s="1882"/>
      <c r="B172" s="1883"/>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1531"/>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039" t="s">
        <v>127</v>
      </c>
      <c r="B176" s="2037" t="s">
        <v>182</v>
      </c>
      <c r="C176" s="2040" t="s">
        <v>9</v>
      </c>
      <c r="D176" s="273" t="s">
        <v>128</v>
      </c>
      <c r="E176" s="562"/>
      <c r="F176" s="562"/>
      <c r="G176" s="563"/>
      <c r="H176" s="276"/>
      <c r="I176" s="1888" t="s">
        <v>129</v>
      </c>
      <c r="J176" s="2041"/>
      <c r="K176" s="2041"/>
      <c r="L176" s="2041"/>
      <c r="M176" s="2041"/>
      <c r="N176" s="2041"/>
      <c r="O176" s="2042"/>
    </row>
    <row r="177" spans="1:15" s="56" customFormat="1" ht="129.75" customHeight="1">
      <c r="A177" s="2469"/>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1898" t="s">
        <v>535</v>
      </c>
      <c r="B178" s="1899"/>
      <c r="C178" s="106">
        <v>2014</v>
      </c>
      <c r="D178" s="30"/>
      <c r="E178" s="31"/>
      <c r="F178" s="31"/>
      <c r="G178" s="284">
        <f>SUM(D178:F178)</f>
        <v>0</v>
      </c>
      <c r="H178" s="155"/>
      <c r="I178" s="155"/>
      <c r="J178" s="31"/>
      <c r="K178" s="31"/>
      <c r="L178" s="31"/>
      <c r="M178" s="31"/>
      <c r="N178" s="31"/>
      <c r="O178" s="34"/>
    </row>
    <row r="179" spans="1:15">
      <c r="A179" s="1891"/>
      <c r="B179" s="1899"/>
      <c r="C179" s="110">
        <v>2015</v>
      </c>
      <c r="D179" s="37">
        <v>7</v>
      </c>
      <c r="E179" s="38"/>
      <c r="F179" s="38"/>
      <c r="G179" s="284">
        <f t="shared" ref="G179:G184" si="19">SUM(D179:F179)</f>
        <v>7</v>
      </c>
      <c r="H179" s="411">
        <v>9</v>
      </c>
      <c r="I179" s="112">
        <v>7</v>
      </c>
      <c r="J179" s="38"/>
      <c r="K179" s="38"/>
      <c r="L179" s="38"/>
      <c r="M179" s="38"/>
      <c r="N179" s="38"/>
      <c r="O179" s="88"/>
    </row>
    <row r="180" spans="1:15">
      <c r="A180" s="1891"/>
      <c r="B180" s="1899"/>
      <c r="C180" s="110">
        <v>2016</v>
      </c>
      <c r="D180" s="37">
        <v>6</v>
      </c>
      <c r="E180" s="38"/>
      <c r="F180" s="38"/>
      <c r="G180" s="284">
        <f t="shared" si="19"/>
        <v>6</v>
      </c>
      <c r="H180" s="411">
        <v>6</v>
      </c>
      <c r="I180" s="112">
        <v>6</v>
      </c>
      <c r="J180" s="38"/>
      <c r="K180" s="38"/>
      <c r="L180" s="38"/>
      <c r="M180" s="38"/>
      <c r="N180" s="38"/>
      <c r="O180" s="88"/>
    </row>
    <row r="181" spans="1:15">
      <c r="A181" s="1891"/>
      <c r="B181" s="1899"/>
      <c r="C181" s="110">
        <v>2017</v>
      </c>
      <c r="D181" s="37">
        <v>10</v>
      </c>
      <c r="E181" s="38"/>
      <c r="F181" s="38"/>
      <c r="G181" s="284">
        <f t="shared" si="19"/>
        <v>10</v>
      </c>
      <c r="H181" s="411">
        <v>5</v>
      </c>
      <c r="I181" s="112">
        <v>10</v>
      </c>
      <c r="J181" s="38"/>
      <c r="K181" s="38"/>
      <c r="L181" s="38"/>
      <c r="M181" s="38"/>
      <c r="N181" s="38"/>
      <c r="O181" s="88"/>
    </row>
    <row r="182" spans="1:15">
      <c r="A182" s="1891"/>
      <c r="B182" s="1899"/>
      <c r="C182" s="110">
        <v>2018</v>
      </c>
      <c r="D182" s="37"/>
      <c r="E182" s="38"/>
      <c r="F182" s="38"/>
      <c r="G182" s="284">
        <f t="shared" si="19"/>
        <v>0</v>
      </c>
      <c r="H182" s="411"/>
      <c r="I182" s="112"/>
      <c r="J182" s="38"/>
      <c r="K182" s="38"/>
      <c r="L182" s="38"/>
      <c r="M182" s="38"/>
      <c r="N182" s="38"/>
      <c r="O182" s="88"/>
    </row>
    <row r="183" spans="1:15">
      <c r="A183" s="1891"/>
      <c r="B183" s="1899"/>
      <c r="C183" s="110">
        <v>2019</v>
      </c>
      <c r="D183" s="37"/>
      <c r="E183" s="38"/>
      <c r="F183" s="38"/>
      <c r="G183" s="284">
        <f t="shared" si="19"/>
        <v>0</v>
      </c>
      <c r="H183" s="411"/>
      <c r="I183" s="112"/>
      <c r="J183" s="38"/>
      <c r="K183" s="38"/>
      <c r="L183" s="38"/>
      <c r="M183" s="38"/>
      <c r="N183" s="38"/>
      <c r="O183" s="88"/>
    </row>
    <row r="184" spans="1:15">
      <c r="A184" s="1891"/>
      <c r="B184" s="1899"/>
      <c r="C184" s="110">
        <v>2020</v>
      </c>
      <c r="D184" s="37"/>
      <c r="E184" s="38"/>
      <c r="F184" s="38"/>
      <c r="G184" s="284">
        <f t="shared" si="19"/>
        <v>0</v>
      </c>
      <c r="H184" s="411"/>
      <c r="I184" s="112"/>
      <c r="J184" s="38"/>
      <c r="K184" s="38"/>
      <c r="L184" s="38"/>
      <c r="M184" s="38"/>
      <c r="N184" s="38"/>
      <c r="O184" s="88"/>
    </row>
    <row r="185" spans="1:15" ht="45" customHeight="1" thickBot="1">
      <c r="A185" s="1893"/>
      <c r="B185" s="1900"/>
      <c r="C185" s="113" t="s">
        <v>13</v>
      </c>
      <c r="D185" s="139">
        <f>SUM(D178:D184)</f>
        <v>23</v>
      </c>
      <c r="E185" s="116">
        <f>SUM(E178:E184)</f>
        <v>0</v>
      </c>
      <c r="F185" s="116">
        <f>SUM(F178:F184)</f>
        <v>0</v>
      </c>
      <c r="G185" s="220">
        <f t="shared" ref="G185:O185" si="20">SUM(G178:G184)</f>
        <v>23</v>
      </c>
      <c r="H185" s="285">
        <f t="shared" si="20"/>
        <v>20</v>
      </c>
      <c r="I185" s="115">
        <f t="shared" si="20"/>
        <v>23</v>
      </c>
      <c r="J185" s="116">
        <f t="shared" si="20"/>
        <v>0</v>
      </c>
      <c r="K185" s="116">
        <f t="shared" si="20"/>
        <v>0</v>
      </c>
      <c r="L185" s="116">
        <f t="shared" si="20"/>
        <v>0</v>
      </c>
      <c r="M185" s="116">
        <f t="shared" si="20"/>
        <v>0</v>
      </c>
      <c r="N185" s="116">
        <f t="shared" si="20"/>
        <v>0</v>
      </c>
      <c r="O185" s="117">
        <f t="shared" si="20"/>
        <v>0</v>
      </c>
    </row>
    <row r="186" spans="1:15" ht="33" customHeight="1" thickBot="1"/>
    <row r="187" spans="1:15" ht="19.5" customHeight="1">
      <c r="A187" s="1861" t="s">
        <v>137</v>
      </c>
      <c r="B187" s="2037" t="s">
        <v>182</v>
      </c>
      <c r="C187" s="1865" t="s">
        <v>9</v>
      </c>
      <c r="D187" s="1867" t="s">
        <v>138</v>
      </c>
      <c r="E187" s="2038"/>
      <c r="F187" s="2038"/>
      <c r="G187" s="1869"/>
      <c r="H187" s="1870"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1976"/>
      <c r="B189" s="1977"/>
      <c r="C189" s="290">
        <v>2014</v>
      </c>
      <c r="D189" s="133"/>
      <c r="E189" s="109"/>
      <c r="F189" s="109"/>
      <c r="G189" s="291">
        <f>SUM(D189:F189)</f>
        <v>0</v>
      </c>
      <c r="H189" s="108"/>
      <c r="I189" s="109"/>
      <c r="J189" s="109"/>
      <c r="K189" s="109"/>
      <c r="L189" s="134"/>
    </row>
    <row r="190" spans="1:15">
      <c r="A190" s="1978"/>
      <c r="B190" s="1855"/>
      <c r="C190" s="73">
        <v>2015</v>
      </c>
      <c r="D190" s="37">
        <v>181</v>
      </c>
      <c r="E190" s="38"/>
      <c r="F190" s="38"/>
      <c r="G190" s="291">
        <f t="shared" ref="G190:G195" si="21">SUM(D190:F190)</f>
        <v>181</v>
      </c>
      <c r="H190" s="112"/>
      <c r="I190" s="38"/>
      <c r="J190" s="38">
        <v>181</v>
      </c>
      <c r="K190" s="38"/>
      <c r="L190" s="88"/>
    </row>
    <row r="191" spans="1:15">
      <c r="A191" s="1978"/>
      <c r="B191" s="1855"/>
      <c r="C191" s="73">
        <v>2016</v>
      </c>
      <c r="D191" s="37">
        <v>66</v>
      </c>
      <c r="E191" s="38"/>
      <c r="F191" s="38"/>
      <c r="G191" s="291">
        <f t="shared" si="21"/>
        <v>66</v>
      </c>
      <c r="H191" s="112"/>
      <c r="I191" s="38"/>
      <c r="J191" s="38">
        <v>66</v>
      </c>
      <c r="K191" s="38"/>
      <c r="L191" s="88"/>
    </row>
    <row r="192" spans="1:15">
      <c r="A192" s="1978"/>
      <c r="B192" s="1855"/>
      <c r="C192" s="73">
        <v>2017</v>
      </c>
      <c r="D192" s="37">
        <v>302</v>
      </c>
      <c r="E192" s="38"/>
      <c r="F192" s="38"/>
      <c r="G192" s="291">
        <f t="shared" si="21"/>
        <v>302</v>
      </c>
      <c r="H192" s="112"/>
      <c r="I192" s="38"/>
      <c r="J192" s="38">
        <v>118</v>
      </c>
      <c r="K192" s="38">
        <v>184</v>
      </c>
      <c r="L192" s="88"/>
    </row>
    <row r="193" spans="1:14">
      <c r="A193" s="1978"/>
      <c r="B193" s="1855"/>
      <c r="C193" s="73">
        <v>2018</v>
      </c>
      <c r="D193" s="37"/>
      <c r="E193" s="38"/>
      <c r="F193" s="38"/>
      <c r="G193" s="291">
        <f t="shared" si="21"/>
        <v>0</v>
      </c>
      <c r="H193" s="112"/>
      <c r="I193" s="38"/>
      <c r="J193" s="38"/>
      <c r="K193" s="38"/>
      <c r="L193" s="88"/>
    </row>
    <row r="194" spans="1:14">
      <c r="A194" s="1978"/>
      <c r="B194" s="1855"/>
      <c r="C194" s="73">
        <v>2019</v>
      </c>
      <c r="D194" s="37"/>
      <c r="E194" s="38"/>
      <c r="F194" s="38"/>
      <c r="G194" s="291">
        <f t="shared" si="21"/>
        <v>0</v>
      </c>
      <c r="H194" s="112"/>
      <c r="I194" s="38"/>
      <c r="J194" s="38"/>
      <c r="K194" s="38"/>
      <c r="L194" s="88"/>
    </row>
    <row r="195" spans="1:14">
      <c r="A195" s="1978"/>
      <c r="B195" s="1855"/>
      <c r="C195" s="73">
        <v>2020</v>
      </c>
      <c r="D195" s="37"/>
      <c r="E195" s="38"/>
      <c r="F195" s="38"/>
      <c r="G195" s="291">
        <f t="shared" si="21"/>
        <v>0</v>
      </c>
      <c r="H195" s="112"/>
      <c r="I195" s="38"/>
      <c r="J195" s="38"/>
      <c r="K195" s="38"/>
      <c r="L195" s="88"/>
    </row>
    <row r="196" spans="1:14" ht="15.75" thickBot="1">
      <c r="A196" s="1979"/>
      <c r="B196" s="1857"/>
      <c r="C196" s="136" t="s">
        <v>13</v>
      </c>
      <c r="D196" s="139">
        <f t="shared" ref="D196:L196" si="22">SUM(D189:D195)</f>
        <v>549</v>
      </c>
      <c r="E196" s="116">
        <f t="shared" si="22"/>
        <v>0</v>
      </c>
      <c r="F196" s="116">
        <f t="shared" si="22"/>
        <v>0</v>
      </c>
      <c r="G196" s="292">
        <f t="shared" si="22"/>
        <v>549</v>
      </c>
      <c r="H196" s="115">
        <f t="shared" si="22"/>
        <v>0</v>
      </c>
      <c r="I196" s="116">
        <f t="shared" si="22"/>
        <v>0</v>
      </c>
      <c r="J196" s="116">
        <f t="shared" si="22"/>
        <v>365</v>
      </c>
      <c r="K196" s="116">
        <f t="shared" si="22"/>
        <v>184</v>
      </c>
      <c r="L196" s="117">
        <f t="shared" si="22"/>
        <v>0</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569" t="s">
        <v>150</v>
      </c>
      <c r="B201" s="417" t="s">
        <v>182</v>
      </c>
      <c r="C201" s="298" t="s">
        <v>9</v>
      </c>
      <c r="D201" s="299" t="s">
        <v>151</v>
      </c>
      <c r="E201" s="300" t="s">
        <v>152</v>
      </c>
      <c r="F201" s="300" t="s">
        <v>153</v>
      </c>
      <c r="G201" s="298" t="s">
        <v>154</v>
      </c>
      <c r="H201" s="570" t="s">
        <v>155</v>
      </c>
      <c r="I201" s="302" t="s">
        <v>156</v>
      </c>
      <c r="J201" s="303" t="s">
        <v>157</v>
      </c>
      <c r="K201" s="300" t="s">
        <v>158</v>
      </c>
      <c r="L201" s="304" t="s">
        <v>159</v>
      </c>
    </row>
    <row r="202" spans="1:14" ht="15" customHeight="1">
      <c r="A202" s="1854"/>
      <c r="B202" s="1855"/>
      <c r="C202" s="72">
        <v>2014</v>
      </c>
      <c r="D202" s="30"/>
      <c r="E202" s="31"/>
      <c r="F202" s="31"/>
      <c r="G202" s="29"/>
      <c r="H202" s="305"/>
      <c r="I202" s="306"/>
      <c r="J202" s="307"/>
      <c r="K202" s="31"/>
      <c r="L202" s="34"/>
    </row>
    <row r="203" spans="1:14">
      <c r="A203" s="1854"/>
      <c r="B203" s="1855"/>
      <c r="C203" s="73">
        <v>2015</v>
      </c>
      <c r="D203" s="37"/>
      <c r="E203" s="38"/>
      <c r="F203" s="38"/>
      <c r="G203" s="36"/>
      <c r="H203" s="308"/>
      <c r="I203" s="309"/>
      <c r="J203" s="310"/>
      <c r="K203" s="38"/>
      <c r="L203" s="88"/>
    </row>
    <row r="204" spans="1:14">
      <c r="A204" s="1854"/>
      <c r="B204" s="1855"/>
      <c r="C204" s="73">
        <v>2016</v>
      </c>
      <c r="D204" s="37"/>
      <c r="E204" s="38"/>
      <c r="F204" s="38"/>
      <c r="G204" s="36"/>
      <c r="H204" s="308"/>
      <c r="I204" s="309"/>
      <c r="J204" s="310"/>
      <c r="K204" s="38"/>
      <c r="L204" s="88"/>
    </row>
    <row r="205" spans="1:14">
      <c r="A205" s="1854"/>
      <c r="B205" s="1855"/>
      <c r="C205" s="73">
        <v>2017</v>
      </c>
      <c r="D205" s="37"/>
      <c r="E205" s="38"/>
      <c r="F205" s="38"/>
      <c r="G205" s="36"/>
      <c r="H205" s="308"/>
      <c r="I205" s="309"/>
      <c r="J205" s="310"/>
      <c r="K205" s="38"/>
      <c r="L205" s="88"/>
    </row>
    <row r="206" spans="1:14">
      <c r="A206" s="1854"/>
      <c r="B206" s="1855"/>
      <c r="C206" s="73">
        <v>2018</v>
      </c>
      <c r="D206" s="37"/>
      <c r="E206" s="38"/>
      <c r="F206" s="38"/>
      <c r="G206" s="36"/>
      <c r="H206" s="308"/>
      <c r="I206" s="309"/>
      <c r="J206" s="310"/>
      <c r="K206" s="38"/>
      <c r="L206" s="88"/>
    </row>
    <row r="207" spans="1:14">
      <c r="A207" s="1854"/>
      <c r="B207" s="1855"/>
      <c r="C207" s="73">
        <v>2019</v>
      </c>
      <c r="D207" s="37"/>
      <c r="E207" s="38"/>
      <c r="F207" s="38"/>
      <c r="G207" s="36"/>
      <c r="H207" s="308"/>
      <c r="I207" s="309"/>
      <c r="J207" s="310"/>
      <c r="K207" s="38"/>
      <c r="L207" s="88"/>
    </row>
    <row r="208" spans="1:14">
      <c r="A208" s="1854"/>
      <c r="B208" s="1855"/>
      <c r="C208" s="73">
        <v>2020</v>
      </c>
      <c r="D208" s="1533"/>
      <c r="E208" s="312"/>
      <c r="F208" s="312"/>
      <c r="G208" s="313"/>
      <c r="H208" s="314"/>
      <c r="I208" s="315"/>
      <c r="J208" s="316"/>
      <c r="K208" s="312"/>
      <c r="L208" s="317"/>
    </row>
    <row r="209" spans="1:12" ht="20.25" customHeight="1" thickBot="1">
      <c r="A209" s="1856"/>
      <c r="B209" s="1857"/>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0</v>
      </c>
      <c r="K209" s="139">
        <f t="shared" si="23"/>
        <v>0</v>
      </c>
      <c r="L209" s="139">
        <f t="shared" si="23"/>
        <v>0</v>
      </c>
    </row>
    <row r="211" spans="1:12" ht="15.75" thickBot="1"/>
    <row r="212" spans="1:12" ht="29.25">
      <c r="A212" s="571" t="s">
        <v>161</v>
      </c>
      <c r="B212" s="322" t="s">
        <v>162</v>
      </c>
      <c r="C212" s="323">
        <v>2014</v>
      </c>
      <c r="D212" s="324">
        <v>2015</v>
      </c>
      <c r="E212" s="324">
        <v>2016</v>
      </c>
      <c r="F212" s="324">
        <v>2017</v>
      </c>
      <c r="G212" s="324">
        <v>2018</v>
      </c>
      <c r="H212" s="324">
        <v>2019</v>
      </c>
      <c r="I212" s="325">
        <v>2020</v>
      </c>
    </row>
    <row r="213" spans="1:12" ht="15" customHeight="1">
      <c r="A213" t="s">
        <v>163</v>
      </c>
      <c r="B213" s="1973"/>
      <c r="C213" s="72"/>
      <c r="D213" s="135">
        <v>69447.179999999993</v>
      </c>
      <c r="E213" s="328">
        <v>196722.95</v>
      </c>
      <c r="F213" s="135">
        <v>190504.13</v>
      </c>
      <c r="G213" s="135"/>
      <c r="H213" s="135"/>
      <c r="I213" s="326"/>
    </row>
    <row r="214" spans="1:12">
      <c r="A214" t="s">
        <v>164</v>
      </c>
      <c r="B214" s="1974"/>
      <c r="C214" s="72"/>
      <c r="D214" s="135">
        <v>68402.080000000002</v>
      </c>
      <c r="E214" s="328">
        <v>196722.95</v>
      </c>
      <c r="F214" s="135">
        <v>190504.13</v>
      </c>
      <c r="G214" s="135"/>
      <c r="H214" s="135"/>
      <c r="I214" s="326"/>
    </row>
    <row r="215" spans="1:12">
      <c r="A215" t="s">
        <v>165</v>
      </c>
      <c r="B215" s="1974"/>
      <c r="C215" s="72"/>
      <c r="D215" s="135"/>
      <c r="E215" s="328"/>
      <c r="F215" s="135"/>
      <c r="G215" s="135"/>
      <c r="H215" s="135"/>
      <c r="I215" s="326"/>
    </row>
    <row r="216" spans="1:12">
      <c r="A216" t="s">
        <v>166</v>
      </c>
      <c r="B216" s="1974"/>
      <c r="C216" s="72"/>
      <c r="D216" s="135">
        <v>1045.0999999999999</v>
      </c>
      <c r="E216" s="328">
        <v>0</v>
      </c>
      <c r="F216" s="135"/>
      <c r="G216" s="135"/>
      <c r="H216" s="135"/>
      <c r="I216" s="326"/>
    </row>
    <row r="217" spans="1:12">
      <c r="A217" t="s">
        <v>167</v>
      </c>
      <c r="B217" s="1974"/>
      <c r="C217" s="72"/>
      <c r="D217" s="135"/>
      <c r="E217" s="328">
        <v>0</v>
      </c>
      <c r="F217" s="135"/>
      <c r="G217" s="135"/>
      <c r="H217" s="135"/>
      <c r="I217" s="326"/>
    </row>
    <row r="218" spans="1:12" ht="30">
      <c r="A218" s="56" t="s">
        <v>168</v>
      </c>
      <c r="B218" s="1974"/>
      <c r="C218" s="72"/>
      <c r="D218" s="135">
        <v>37561.550000000003</v>
      </c>
      <c r="E218" s="328">
        <v>123639.35</v>
      </c>
      <c r="F218" s="135">
        <v>130877.59</v>
      </c>
      <c r="G218" s="135"/>
      <c r="H218" s="135"/>
      <c r="I218" s="326"/>
    </row>
    <row r="219" spans="1:12" ht="15.75" thickBot="1">
      <c r="A219" s="1532"/>
      <c r="B219" s="1975"/>
      <c r="C219" s="42" t="s">
        <v>13</v>
      </c>
      <c r="D219" s="333">
        <f>SUM(D214:D218)</f>
        <v>107008.73000000001</v>
      </c>
      <c r="E219" s="332">
        <f t="shared" ref="E219:I219" si="24">SUM(E214:E218)</f>
        <v>320362.30000000005</v>
      </c>
      <c r="F219" s="333">
        <f t="shared" si="24"/>
        <v>321381.71999999997</v>
      </c>
      <c r="G219" s="333">
        <f t="shared" si="24"/>
        <v>0</v>
      </c>
      <c r="H219" s="333">
        <f t="shared" si="24"/>
        <v>0</v>
      </c>
      <c r="I219" s="333">
        <f t="shared" si="24"/>
        <v>0</v>
      </c>
    </row>
    <row r="227" spans="1:1">
      <c r="A227" s="56"/>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7"/>
  <sheetViews>
    <sheetView topLeftCell="B16" workbookViewId="0">
      <selection activeCell="D219" sqref="D219:F219"/>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575</v>
      </c>
      <c r="C1" s="1944"/>
      <c r="D1" s="1944"/>
      <c r="E1" s="1944"/>
      <c r="F1" s="1944"/>
    </row>
    <row r="2" spans="1:25" s="1" customFormat="1" ht="20.100000000000001" customHeight="1" thickBot="1"/>
    <row r="3" spans="1:25" s="4" customFormat="1" ht="20.100000000000001" customHeight="1">
      <c r="A3" s="1768" t="s">
        <v>2</v>
      </c>
      <c r="B3" s="1769"/>
      <c r="C3" s="1769"/>
      <c r="D3" s="1769"/>
      <c r="E3" s="1769"/>
      <c r="F3" s="2644"/>
      <c r="G3" s="2644"/>
      <c r="H3" s="2644"/>
      <c r="I3" s="2644"/>
      <c r="J3" s="2644"/>
      <c r="K3" s="2644"/>
      <c r="L3" s="2644"/>
      <c r="M3" s="2644"/>
      <c r="N3" s="2644"/>
      <c r="O3" s="2645"/>
    </row>
    <row r="4" spans="1:25" s="4" customFormat="1" ht="20.100000000000001" customHeight="1">
      <c r="A4" s="2420" t="s">
        <v>170</v>
      </c>
      <c r="B4" s="1948"/>
      <c r="C4" s="1948"/>
      <c r="D4" s="1948"/>
      <c r="E4" s="1948"/>
      <c r="F4" s="1948"/>
      <c r="G4" s="1948"/>
      <c r="H4" s="1948"/>
      <c r="I4" s="1948"/>
      <c r="J4" s="1948"/>
      <c r="K4" s="1948"/>
      <c r="L4" s="1948"/>
      <c r="M4" s="1948"/>
      <c r="N4" s="1948"/>
      <c r="O4" s="1949"/>
    </row>
    <row r="5" spans="1:25" s="4" customFormat="1" ht="20.100000000000001" customHeight="1">
      <c r="A5" s="2420"/>
      <c r="B5" s="1948"/>
      <c r="C5" s="1948"/>
      <c r="D5" s="1948"/>
      <c r="E5" s="1948"/>
      <c r="F5" s="1948"/>
      <c r="G5" s="1948"/>
      <c r="H5" s="1948"/>
      <c r="I5" s="1948"/>
      <c r="J5" s="1948"/>
      <c r="K5" s="1948"/>
      <c r="L5" s="1948"/>
      <c r="M5" s="1948"/>
      <c r="N5" s="1948"/>
      <c r="O5" s="1949"/>
    </row>
    <row r="6" spans="1:25" s="4" customFormat="1" ht="20.100000000000001" customHeight="1">
      <c r="A6" s="2420"/>
      <c r="B6" s="1948"/>
      <c r="C6" s="1948"/>
      <c r="D6" s="1948"/>
      <c r="E6" s="1948"/>
      <c r="F6" s="1948"/>
      <c r="G6" s="1948"/>
      <c r="H6" s="1948"/>
      <c r="I6" s="1948"/>
      <c r="J6" s="1948"/>
      <c r="K6" s="1948"/>
      <c r="L6" s="1948"/>
      <c r="M6" s="1948"/>
      <c r="N6" s="1948"/>
      <c r="O6" s="1949"/>
    </row>
    <row r="7" spans="1:25" s="4" customFormat="1" ht="20.100000000000001" customHeight="1">
      <c r="A7" s="2420"/>
      <c r="B7" s="1948"/>
      <c r="C7" s="1948"/>
      <c r="D7" s="1948"/>
      <c r="E7" s="1948"/>
      <c r="F7" s="1948"/>
      <c r="G7" s="1948"/>
      <c r="H7" s="1948"/>
      <c r="I7" s="1948"/>
      <c r="J7" s="1948"/>
      <c r="K7" s="1948"/>
      <c r="L7" s="1948"/>
      <c r="M7" s="1948"/>
      <c r="N7" s="1948"/>
      <c r="O7" s="1949"/>
    </row>
    <row r="8" spans="1:25" s="4" customFormat="1" ht="20.100000000000001" customHeight="1">
      <c r="A8" s="2420"/>
      <c r="B8" s="1948"/>
      <c r="C8" s="1948"/>
      <c r="D8" s="1948"/>
      <c r="E8" s="1948"/>
      <c r="F8" s="1948"/>
      <c r="G8" s="1948"/>
      <c r="H8" s="1948"/>
      <c r="I8" s="1948"/>
      <c r="J8" s="1948"/>
      <c r="K8" s="1948"/>
      <c r="L8" s="1948"/>
      <c r="M8" s="1948"/>
      <c r="N8" s="1948"/>
      <c r="O8" s="1949"/>
    </row>
    <row r="9" spans="1:25" s="4" customFormat="1" ht="20.100000000000001" customHeight="1">
      <c r="A9" s="2420"/>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1770"/>
      <c r="B15" s="1660"/>
      <c r="C15" s="10"/>
      <c r="D15" s="2421" t="s">
        <v>5</v>
      </c>
      <c r="E15" s="2611"/>
      <c r="F15" s="2611"/>
      <c r="G15" s="2611"/>
      <c r="H15" s="1746"/>
      <c r="I15" s="12" t="s">
        <v>6</v>
      </c>
      <c r="J15" s="13"/>
      <c r="K15" s="13"/>
      <c r="L15" s="13"/>
      <c r="M15" s="13"/>
      <c r="N15" s="13"/>
      <c r="O15" s="14"/>
      <c r="P15" s="15"/>
      <c r="Q15" s="16"/>
      <c r="R15" s="17"/>
      <c r="S15" s="17"/>
      <c r="T15" s="17"/>
      <c r="U15" s="17"/>
      <c r="V15" s="17"/>
      <c r="W15" s="15"/>
      <c r="X15" s="15"/>
      <c r="Y15" s="16"/>
    </row>
    <row r="16" spans="1:25" s="56" customFormat="1" ht="129" customHeight="1">
      <c r="A16" s="153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2408" t="s">
        <v>576</v>
      </c>
      <c r="B17" s="1855"/>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2378"/>
      <c r="B18" s="1855"/>
      <c r="C18" s="36">
        <v>2015</v>
      </c>
      <c r="D18" s="37">
        <v>19</v>
      </c>
      <c r="E18" s="38"/>
      <c r="F18" s="38"/>
      <c r="G18" s="32">
        <f>SUM(D18:F18)</f>
        <v>19</v>
      </c>
      <c r="H18" s="39">
        <v>19</v>
      </c>
      <c r="I18" s="38"/>
      <c r="J18" s="38"/>
      <c r="K18" s="38"/>
      <c r="L18" s="38"/>
      <c r="M18" s="38"/>
      <c r="N18" s="38"/>
      <c r="O18" s="40"/>
      <c r="P18" s="35"/>
      <c r="Q18" s="35"/>
      <c r="R18" s="35"/>
      <c r="S18" s="35"/>
      <c r="T18" s="35"/>
      <c r="U18" s="35"/>
      <c r="V18" s="35"/>
      <c r="W18" s="35"/>
      <c r="X18" s="35"/>
      <c r="Y18" s="35"/>
    </row>
    <row r="19" spans="1:25">
      <c r="A19" s="2378"/>
      <c r="B19" s="1855"/>
      <c r="C19" s="36">
        <v>2016</v>
      </c>
      <c r="D19" s="37">
        <v>28</v>
      </c>
      <c r="E19" s="38"/>
      <c r="F19" s="38"/>
      <c r="G19" s="32">
        <f t="shared" si="0"/>
        <v>28</v>
      </c>
      <c r="H19" s="39">
        <v>28</v>
      </c>
      <c r="I19" s="38"/>
      <c r="J19" s="38"/>
      <c r="K19" s="38"/>
      <c r="L19" s="38"/>
      <c r="M19" s="38"/>
      <c r="N19" s="38"/>
      <c r="O19" s="40"/>
      <c r="P19" s="35"/>
      <c r="Q19" s="35"/>
      <c r="R19" s="35"/>
      <c r="S19" s="35"/>
      <c r="T19" s="35"/>
      <c r="U19" s="35"/>
      <c r="V19" s="35"/>
      <c r="W19" s="35"/>
      <c r="X19" s="35"/>
      <c r="Y19" s="35"/>
    </row>
    <row r="20" spans="1:25">
      <c r="A20" s="2378"/>
      <c r="B20" s="1855"/>
      <c r="C20" s="36">
        <v>2017</v>
      </c>
      <c r="D20" s="37">
        <v>33</v>
      </c>
      <c r="E20" s="38"/>
      <c r="F20" s="38"/>
      <c r="G20" s="32">
        <f t="shared" si="0"/>
        <v>33</v>
      </c>
      <c r="H20" s="39">
        <v>33</v>
      </c>
      <c r="I20" s="38"/>
      <c r="J20" s="38"/>
      <c r="K20" s="38"/>
      <c r="L20" s="38"/>
      <c r="M20" s="38"/>
      <c r="N20" s="38"/>
      <c r="O20" s="40"/>
      <c r="P20" s="35"/>
      <c r="Q20" s="35"/>
      <c r="R20" s="35"/>
      <c r="S20" s="35"/>
      <c r="T20" s="35"/>
      <c r="U20" s="35"/>
      <c r="V20" s="35"/>
      <c r="W20" s="35"/>
      <c r="X20" s="35"/>
      <c r="Y20" s="35"/>
    </row>
    <row r="21" spans="1:25">
      <c r="A21" s="2378"/>
      <c r="B21" s="1855"/>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2378"/>
      <c r="B22" s="1855"/>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2378"/>
      <c r="B23" s="1855"/>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19.5" customHeight="1" thickBot="1">
      <c r="A24" s="1856"/>
      <c r="B24" s="1857"/>
      <c r="C24" s="42" t="s">
        <v>13</v>
      </c>
      <c r="D24" s="43">
        <f>SUM(D17:D23)</f>
        <v>80</v>
      </c>
      <c r="E24" s="44">
        <f>SUM(E17:E23)</f>
        <v>0</v>
      </c>
      <c r="F24" s="44">
        <f>SUM(F17:F23)</f>
        <v>0</v>
      </c>
      <c r="G24" s="45">
        <f>SUM(D24:F24)</f>
        <v>80</v>
      </c>
      <c r="H24" s="46">
        <f>SUM(H17:H23)</f>
        <v>80</v>
      </c>
      <c r="I24" s="47">
        <f>SUM(I17:I23)</f>
        <v>0</v>
      </c>
      <c r="J24" s="47">
        <f t="shared" ref="J24:N24" si="1">SUM(J17:J23)</f>
        <v>0</v>
      </c>
      <c r="K24" s="47">
        <f t="shared" si="1"/>
        <v>0</v>
      </c>
      <c r="L24" s="47">
        <f t="shared" si="1"/>
        <v>0</v>
      </c>
      <c r="M24" s="47">
        <f t="shared" si="1"/>
        <v>0</v>
      </c>
      <c r="N24" s="47">
        <f t="shared" si="1"/>
        <v>0</v>
      </c>
      <c r="O24" s="48">
        <f>SUM(O17:O23)</f>
        <v>0</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1770"/>
      <c r="B26" s="1660"/>
      <c r="C26" s="50"/>
      <c r="D26" s="2423" t="s">
        <v>5</v>
      </c>
      <c r="E26" s="2613"/>
      <c r="F26" s="2613"/>
      <c r="G26" s="2425"/>
      <c r="H26" s="15"/>
      <c r="I26" s="16"/>
      <c r="J26" s="17"/>
      <c r="K26" s="17"/>
      <c r="L26" s="17"/>
      <c r="M26" s="17"/>
      <c r="N26" s="17"/>
      <c r="O26" s="15"/>
      <c r="P26" s="15"/>
    </row>
    <row r="27" spans="1:25" s="56" customFormat="1" ht="93" customHeight="1">
      <c r="A27" s="171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2408" t="s">
        <v>577</v>
      </c>
      <c r="B28" s="1855"/>
      <c r="C28" s="57">
        <v>2014</v>
      </c>
      <c r="D28" s="33"/>
      <c r="E28" s="31"/>
      <c r="F28" s="31"/>
      <c r="G28" s="58">
        <f>SUM(D28:F28)</f>
        <v>0</v>
      </c>
      <c r="H28" s="35"/>
      <c r="I28" s="35"/>
      <c r="J28" s="35"/>
      <c r="K28" s="35"/>
      <c r="L28" s="35"/>
      <c r="M28" s="35"/>
      <c r="N28" s="35"/>
      <c r="O28" s="35"/>
      <c r="P28" s="35"/>
      <c r="Q28" s="7"/>
    </row>
    <row r="29" spans="1:25">
      <c r="A29" s="2378"/>
      <c r="B29" s="1855"/>
      <c r="C29" s="59">
        <v>2015</v>
      </c>
      <c r="D29" s="39">
        <v>176</v>
      </c>
      <c r="E29" s="38"/>
      <c r="F29" s="38"/>
      <c r="G29" s="58">
        <f t="shared" ref="G29:G35" si="2">SUM(D29:F29)</f>
        <v>176</v>
      </c>
      <c r="H29" s="35"/>
      <c r="I29" s="35"/>
      <c r="J29" s="35"/>
      <c r="K29" s="35"/>
      <c r="L29" s="35"/>
      <c r="M29" s="35"/>
      <c r="N29" s="35"/>
      <c r="O29" s="35"/>
      <c r="P29" s="35"/>
      <c r="Q29" s="7"/>
    </row>
    <row r="30" spans="1:25">
      <c r="A30" s="2378"/>
      <c r="B30" s="1855"/>
      <c r="C30" s="59">
        <v>2016</v>
      </c>
      <c r="D30" s="39">
        <v>749</v>
      </c>
      <c r="E30" s="38"/>
      <c r="F30" s="38"/>
      <c r="G30" s="58">
        <f t="shared" si="2"/>
        <v>749</v>
      </c>
      <c r="H30" s="35"/>
      <c r="I30" s="35"/>
      <c r="J30" s="35"/>
      <c r="K30" s="35"/>
      <c r="L30" s="35"/>
      <c r="M30" s="35"/>
      <c r="N30" s="35"/>
      <c r="O30" s="35"/>
      <c r="P30" s="35"/>
      <c r="Q30" s="7"/>
    </row>
    <row r="31" spans="1:25">
      <c r="A31" s="2378"/>
      <c r="B31" s="1855"/>
      <c r="C31" s="59">
        <v>2017</v>
      </c>
      <c r="D31" s="39">
        <v>1590</v>
      </c>
      <c r="E31" s="38"/>
      <c r="F31" s="38"/>
      <c r="G31" s="58">
        <f t="shared" si="2"/>
        <v>1590</v>
      </c>
      <c r="H31" s="35"/>
      <c r="I31" s="35"/>
      <c r="J31" s="35"/>
      <c r="K31" s="35"/>
      <c r="L31" s="35"/>
      <c r="M31" s="35"/>
      <c r="N31" s="35"/>
      <c r="O31" s="35"/>
      <c r="P31" s="35"/>
      <c r="Q31" s="7"/>
    </row>
    <row r="32" spans="1:25">
      <c r="A32" s="2378"/>
      <c r="B32" s="1855"/>
      <c r="C32" s="59">
        <v>2018</v>
      </c>
      <c r="D32" s="39"/>
      <c r="E32" s="38"/>
      <c r="F32" s="38"/>
      <c r="G32" s="58">
        <f>SUM(D32:F32)</f>
        <v>0</v>
      </c>
      <c r="H32" s="35"/>
      <c r="I32" s="35"/>
      <c r="J32" s="35"/>
      <c r="K32" s="35"/>
      <c r="L32" s="35"/>
      <c r="M32" s="35"/>
      <c r="N32" s="35"/>
      <c r="O32" s="35"/>
      <c r="P32" s="35"/>
      <c r="Q32" s="7"/>
    </row>
    <row r="33" spans="1:17">
      <c r="A33" s="2378"/>
      <c r="B33" s="1855"/>
      <c r="C33" s="60">
        <v>2019</v>
      </c>
      <c r="D33" s="39"/>
      <c r="E33" s="38"/>
      <c r="F33" s="38"/>
      <c r="G33" s="58">
        <f t="shared" si="2"/>
        <v>0</v>
      </c>
      <c r="H33" s="35"/>
      <c r="I33" s="35"/>
      <c r="J33" s="35"/>
      <c r="K33" s="35"/>
      <c r="L33" s="35"/>
      <c r="M33" s="35"/>
      <c r="N33" s="35"/>
      <c r="O33" s="35"/>
      <c r="P33" s="35"/>
      <c r="Q33" s="7"/>
    </row>
    <row r="34" spans="1:17">
      <c r="A34" s="2378"/>
      <c r="B34" s="1855"/>
      <c r="C34" s="59">
        <v>2020</v>
      </c>
      <c r="D34" s="39"/>
      <c r="E34" s="38"/>
      <c r="F34" s="38"/>
      <c r="G34" s="58">
        <f t="shared" si="2"/>
        <v>0</v>
      </c>
      <c r="H34" s="35"/>
      <c r="I34" s="35"/>
      <c r="J34" s="35"/>
      <c r="K34" s="35"/>
      <c r="L34" s="35"/>
      <c r="M34" s="35"/>
      <c r="N34" s="35"/>
      <c r="O34" s="35"/>
      <c r="P34" s="35"/>
      <c r="Q34" s="7"/>
    </row>
    <row r="35" spans="1:17" ht="20.25" customHeight="1" thickBot="1">
      <c r="A35" s="1856"/>
      <c r="B35" s="1857"/>
      <c r="C35" s="61" t="s">
        <v>13</v>
      </c>
      <c r="D35" s="46">
        <f>SUM(D28:D34)</f>
        <v>2515</v>
      </c>
      <c r="E35" s="44">
        <f>SUM(E28:E34)</f>
        <v>0</v>
      </c>
      <c r="F35" s="44">
        <f>SUM(F28:F34)</f>
        <v>0</v>
      </c>
      <c r="G35" s="48">
        <f t="shared" si="2"/>
        <v>2515</v>
      </c>
      <c r="H35" s="35"/>
      <c r="I35" s="35"/>
      <c r="J35" s="35"/>
      <c r="K35" s="35"/>
      <c r="L35" s="35"/>
      <c r="M35" s="35"/>
      <c r="N35" s="35"/>
      <c r="O35" s="35"/>
      <c r="P35" s="35"/>
      <c r="Q35" s="7"/>
    </row>
    <row r="36" spans="1:17">
      <c r="A36" s="1744"/>
      <c r="B36" s="1744"/>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1771" t="s">
        <v>26</v>
      </c>
      <c r="B39" s="1663" t="s">
        <v>171</v>
      </c>
      <c r="C39" s="68" t="s">
        <v>9</v>
      </c>
      <c r="D39" s="1750" t="s">
        <v>28</v>
      </c>
      <c r="E39" s="70" t="s">
        <v>29</v>
      </c>
      <c r="F39" s="71"/>
      <c r="G39" s="28"/>
      <c r="H39" s="28"/>
    </row>
    <row r="40" spans="1:17">
      <c r="A40" s="2408" t="s">
        <v>578</v>
      </c>
      <c r="B40" s="1855"/>
      <c r="C40" s="72">
        <v>2014</v>
      </c>
      <c r="D40" s="30"/>
      <c r="E40" s="29"/>
      <c r="F40" s="7"/>
      <c r="G40" s="35"/>
      <c r="H40" s="35"/>
    </row>
    <row r="41" spans="1:17">
      <c r="A41" s="2378"/>
      <c r="B41" s="1855"/>
      <c r="C41" s="73">
        <v>2015</v>
      </c>
      <c r="D41" s="37">
        <v>2000</v>
      </c>
      <c r="E41" s="36">
        <v>2000</v>
      </c>
      <c r="F41" s="7"/>
      <c r="G41" s="35"/>
      <c r="H41" s="35"/>
    </row>
    <row r="42" spans="1:17">
      <c r="A42" s="2378"/>
      <c r="B42" s="1855"/>
      <c r="C42" s="73">
        <v>2016</v>
      </c>
      <c r="D42" s="37">
        <v>11637</v>
      </c>
      <c r="E42" s="36">
        <v>11637</v>
      </c>
      <c r="F42" s="7"/>
      <c r="G42" s="35"/>
      <c r="H42" s="35"/>
    </row>
    <row r="43" spans="1:17">
      <c r="A43" s="2378"/>
      <c r="B43" s="1855"/>
      <c r="C43" s="73">
        <v>2017</v>
      </c>
      <c r="D43" s="37">
        <v>9063</v>
      </c>
      <c r="E43" s="36">
        <v>9063</v>
      </c>
      <c r="F43" s="7"/>
      <c r="G43" s="35"/>
      <c r="H43" s="35"/>
    </row>
    <row r="44" spans="1:17">
      <c r="A44" s="2378"/>
      <c r="B44" s="1855"/>
      <c r="C44" s="73">
        <v>2018</v>
      </c>
      <c r="D44" s="37"/>
      <c r="E44" s="36"/>
      <c r="F44" s="7"/>
      <c r="G44" s="35"/>
      <c r="H44" s="35"/>
    </row>
    <row r="45" spans="1:17">
      <c r="A45" s="2378"/>
      <c r="B45" s="1855"/>
      <c r="C45" s="73">
        <v>2019</v>
      </c>
      <c r="D45" s="37"/>
      <c r="E45" s="36"/>
      <c r="F45" s="7"/>
      <c r="G45" s="35"/>
      <c r="H45" s="35"/>
    </row>
    <row r="46" spans="1:17">
      <c r="A46" s="2378"/>
      <c r="B46" s="1855"/>
      <c r="C46" s="73">
        <v>2020</v>
      </c>
      <c r="D46" s="37"/>
      <c r="E46" s="36"/>
      <c r="F46" s="7"/>
      <c r="G46" s="35"/>
      <c r="H46" s="35"/>
    </row>
    <row r="47" spans="1:17" ht="15.75" thickBot="1">
      <c r="A47" s="1856"/>
      <c r="B47" s="1857"/>
      <c r="C47" s="42" t="s">
        <v>13</v>
      </c>
      <c r="D47" s="43">
        <f>SUM(D40:D46)</f>
        <v>22700</v>
      </c>
      <c r="E47" s="455">
        <f>SUM(E40:E46)</f>
        <v>22700</v>
      </c>
      <c r="F47" s="78"/>
      <c r="G47" s="35"/>
      <c r="H47" s="35"/>
    </row>
    <row r="48" spans="1:17" s="35" customFormat="1" ht="15.75" thickBot="1">
      <c r="A48" s="1664"/>
      <c r="B48" s="80"/>
      <c r="C48" s="81"/>
    </row>
    <row r="49" spans="1:15" ht="83.25" customHeight="1">
      <c r="A49" s="1753" t="s">
        <v>32</v>
      </c>
      <c r="B49" s="1663" t="s">
        <v>171</v>
      </c>
      <c r="C49" s="84" t="s">
        <v>9</v>
      </c>
      <c r="D49" s="1750" t="s">
        <v>34</v>
      </c>
      <c r="E49" s="85" t="s">
        <v>35</v>
      </c>
      <c r="F49" s="85" t="s">
        <v>36</v>
      </c>
      <c r="G49" s="85" t="s">
        <v>37</v>
      </c>
      <c r="H49" s="85" t="s">
        <v>38</v>
      </c>
      <c r="I49" s="85" t="s">
        <v>39</v>
      </c>
      <c r="J49" s="85" t="s">
        <v>40</v>
      </c>
      <c r="K49" s="86" t="s">
        <v>41</v>
      </c>
    </row>
    <row r="50" spans="1:15" ht="17.25" customHeight="1">
      <c r="A50" s="1872"/>
      <c r="B50" s="1879"/>
      <c r="C50" s="87" t="s">
        <v>43</v>
      </c>
      <c r="D50" s="30"/>
      <c r="E50" s="31"/>
      <c r="F50" s="31"/>
      <c r="G50" s="31"/>
      <c r="H50" s="31"/>
      <c r="I50" s="31"/>
      <c r="J50" s="31"/>
      <c r="K50" s="34"/>
    </row>
    <row r="51" spans="1:15" ht="15" customHeight="1">
      <c r="A51" s="2408"/>
      <c r="B51" s="1881"/>
      <c r="C51" s="73">
        <v>2014</v>
      </c>
      <c r="D51" s="37"/>
      <c r="E51" s="38"/>
      <c r="F51" s="38"/>
      <c r="G51" s="38"/>
      <c r="H51" s="38"/>
      <c r="I51" s="38"/>
      <c r="J51" s="38"/>
      <c r="K51" s="88"/>
    </row>
    <row r="52" spans="1:15">
      <c r="A52" s="2408"/>
      <c r="B52" s="1881"/>
      <c r="C52" s="73">
        <v>2015</v>
      </c>
      <c r="D52" s="37"/>
      <c r="E52" s="38"/>
      <c r="F52" s="38"/>
      <c r="G52" s="38"/>
      <c r="H52" s="38"/>
      <c r="I52" s="38"/>
      <c r="J52" s="38"/>
      <c r="K52" s="88"/>
    </row>
    <row r="53" spans="1:15">
      <c r="A53" s="2408"/>
      <c r="B53" s="1881"/>
      <c r="C53" s="73">
        <v>2016</v>
      </c>
      <c r="D53" s="37"/>
      <c r="E53" s="38"/>
      <c r="F53" s="38"/>
      <c r="G53" s="38"/>
      <c r="H53" s="38"/>
      <c r="I53" s="38"/>
      <c r="J53" s="38"/>
      <c r="K53" s="88"/>
    </row>
    <row r="54" spans="1:15">
      <c r="A54" s="2408"/>
      <c r="B54" s="1881"/>
      <c r="C54" s="73">
        <v>2017</v>
      </c>
      <c r="D54" s="37"/>
      <c r="E54" s="38"/>
      <c r="F54" s="38"/>
      <c r="G54" s="38"/>
      <c r="H54" s="38"/>
      <c r="I54" s="38"/>
      <c r="J54" s="38"/>
      <c r="K54" s="88"/>
    </row>
    <row r="55" spans="1:15">
      <c r="A55" s="2408"/>
      <c r="B55" s="1881"/>
      <c r="C55" s="73">
        <v>2018</v>
      </c>
      <c r="D55" s="37"/>
      <c r="E55" s="38"/>
      <c r="F55" s="38"/>
      <c r="G55" s="38"/>
      <c r="H55" s="38"/>
      <c r="I55" s="38"/>
      <c r="J55" s="38"/>
      <c r="K55" s="88"/>
    </row>
    <row r="56" spans="1:15">
      <c r="A56" s="2408"/>
      <c r="B56" s="1881"/>
      <c r="C56" s="73">
        <v>2019</v>
      </c>
      <c r="D56" s="37"/>
      <c r="E56" s="38"/>
      <c r="F56" s="38"/>
      <c r="G56" s="38"/>
      <c r="H56" s="38"/>
      <c r="I56" s="38"/>
      <c r="J56" s="38"/>
      <c r="K56" s="88"/>
    </row>
    <row r="57" spans="1:15">
      <c r="A57" s="2408"/>
      <c r="B57" s="1881"/>
      <c r="C57" s="73">
        <v>2020</v>
      </c>
      <c r="D57" s="37"/>
      <c r="E57" s="38"/>
      <c r="F57" s="38"/>
      <c r="G57" s="38"/>
      <c r="H57" s="38"/>
      <c r="I57" s="38"/>
      <c r="J57" s="38"/>
      <c r="K57" s="93"/>
    </row>
    <row r="58" spans="1:15" ht="20.25" customHeight="1" thickBot="1">
      <c r="A58" s="1876"/>
      <c r="B58" s="1883"/>
      <c r="C58" s="42" t="s">
        <v>13</v>
      </c>
      <c r="D58" s="43">
        <f>SUM(D51:D57)</f>
        <v>0</v>
      </c>
      <c r="E58" s="44">
        <f>SUM(E51:E57)</f>
        <v>0</v>
      </c>
      <c r="F58" s="44">
        <f>SUM(F51:F57)</f>
        <v>0</v>
      </c>
      <c r="G58" s="44">
        <f>SUM(G51:G57)</f>
        <v>0</v>
      </c>
      <c r="H58" s="44">
        <f>SUM(H51:H57)</f>
        <v>0</v>
      </c>
      <c r="I58" s="44">
        <f t="shared" ref="I58" si="3">SUM(I51:I57)</f>
        <v>0</v>
      </c>
      <c r="J58" s="44">
        <f>SUM(J51:J57)</f>
        <v>0</v>
      </c>
      <c r="K58" s="48">
        <f>SUM(K50:K56)</f>
        <v>0</v>
      </c>
    </row>
    <row r="59" spans="1:15" ht="15.75" thickBot="1"/>
    <row r="60" spans="1:15" ht="21" customHeight="1">
      <c r="A60" s="2494" t="s">
        <v>44</v>
      </c>
      <c r="B60" s="1665"/>
      <c r="C60" s="2617" t="s">
        <v>9</v>
      </c>
      <c r="D60" s="2417" t="s">
        <v>45</v>
      </c>
      <c r="E60" s="1541" t="s">
        <v>6</v>
      </c>
      <c r="F60" s="1666"/>
      <c r="G60" s="1666"/>
      <c r="H60" s="1666"/>
      <c r="I60" s="1666"/>
      <c r="J60" s="1666"/>
      <c r="K60" s="1666"/>
      <c r="L60" s="1543"/>
    </row>
    <row r="61" spans="1:15" ht="115.5" customHeight="1">
      <c r="A61" s="2428"/>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2399" t="s">
        <v>579</v>
      </c>
      <c r="B62" s="1899"/>
      <c r="C62" s="106">
        <v>2014</v>
      </c>
      <c r="D62" s="107"/>
      <c r="E62" s="108"/>
      <c r="F62" s="109"/>
      <c r="G62" s="109"/>
      <c r="H62" s="109"/>
      <c r="I62" s="109"/>
      <c r="J62" s="109"/>
      <c r="K62" s="109"/>
      <c r="L62" s="34"/>
      <c r="M62" s="7"/>
      <c r="N62" s="7"/>
      <c r="O62" s="7"/>
    </row>
    <row r="63" spans="1:15">
      <c r="A63" s="2395"/>
      <c r="B63" s="1899"/>
      <c r="C63" s="110">
        <v>2015</v>
      </c>
      <c r="D63" s="111">
        <v>3</v>
      </c>
      <c r="E63" s="112">
        <v>3</v>
      </c>
      <c r="F63" s="38"/>
      <c r="G63" s="38"/>
      <c r="H63" s="38"/>
      <c r="I63" s="38"/>
      <c r="J63" s="38"/>
      <c r="K63" s="38"/>
      <c r="L63" s="88"/>
      <c r="M63" s="7"/>
      <c r="N63" s="7"/>
      <c r="O63" s="7"/>
    </row>
    <row r="64" spans="1:15">
      <c r="A64" s="2395"/>
      <c r="B64" s="1899"/>
      <c r="C64" s="110">
        <v>2016</v>
      </c>
      <c r="D64" s="111">
        <v>44</v>
      </c>
      <c r="E64" s="112">
        <v>44</v>
      </c>
      <c r="F64" s="38"/>
      <c r="G64" s="38"/>
      <c r="H64" s="38"/>
      <c r="I64" s="38"/>
      <c r="J64" s="38"/>
      <c r="K64" s="38"/>
      <c r="L64" s="88"/>
      <c r="M64" s="7"/>
      <c r="N64" s="7"/>
      <c r="O64" s="7"/>
    </row>
    <row r="65" spans="1:20">
      <c r="A65" s="2395"/>
      <c r="B65" s="1899"/>
      <c r="C65" s="110">
        <v>2017</v>
      </c>
      <c r="D65" s="111">
        <v>25</v>
      </c>
      <c r="E65" s="112">
        <v>25</v>
      </c>
      <c r="F65" s="38"/>
      <c r="G65" s="38"/>
      <c r="H65" s="38"/>
      <c r="I65" s="38"/>
      <c r="J65" s="38"/>
      <c r="K65" s="38"/>
      <c r="L65" s="88"/>
      <c r="M65" s="7"/>
      <c r="N65" s="7"/>
      <c r="O65" s="7"/>
    </row>
    <row r="66" spans="1:20">
      <c r="A66" s="2395"/>
      <c r="B66" s="1899"/>
      <c r="C66" s="110">
        <v>2018</v>
      </c>
      <c r="D66" s="111"/>
      <c r="E66" s="112"/>
      <c r="F66" s="38"/>
      <c r="G66" s="38"/>
      <c r="H66" s="38"/>
      <c r="I66" s="38"/>
      <c r="J66" s="38"/>
      <c r="K66" s="38"/>
      <c r="L66" s="88"/>
      <c r="M66" s="7"/>
      <c r="N66" s="7"/>
      <c r="O66" s="7"/>
    </row>
    <row r="67" spans="1:20" ht="17.25" customHeight="1">
      <c r="A67" s="2395"/>
      <c r="B67" s="1899"/>
      <c r="C67" s="110">
        <v>2019</v>
      </c>
      <c r="D67" s="111"/>
      <c r="E67" s="112"/>
      <c r="F67" s="38"/>
      <c r="G67" s="38"/>
      <c r="H67" s="38"/>
      <c r="I67" s="38"/>
      <c r="J67" s="38"/>
      <c r="K67" s="38"/>
      <c r="L67" s="88"/>
      <c r="M67" s="7"/>
      <c r="N67" s="7"/>
      <c r="O67" s="7"/>
    </row>
    <row r="68" spans="1:20" ht="16.5" customHeight="1">
      <c r="A68" s="2395"/>
      <c r="B68" s="1899"/>
      <c r="C68" s="110">
        <v>2020</v>
      </c>
      <c r="D68" s="111"/>
      <c r="E68" s="112"/>
      <c r="F68" s="38"/>
      <c r="G68" s="38"/>
      <c r="H68" s="38"/>
      <c r="I68" s="38"/>
      <c r="J68" s="38"/>
      <c r="K68" s="38"/>
      <c r="L68" s="88"/>
      <c r="M68" s="78"/>
      <c r="N68" s="78"/>
      <c r="O68" s="78"/>
    </row>
    <row r="69" spans="1:20" ht="18" customHeight="1" thickBot="1">
      <c r="A69" s="1980"/>
      <c r="B69" s="1900"/>
      <c r="C69" s="113" t="s">
        <v>13</v>
      </c>
      <c r="D69" s="114">
        <f>SUM(D62:D68)</f>
        <v>72</v>
      </c>
      <c r="E69" s="115">
        <f>SUM(E62:E68)</f>
        <v>72</v>
      </c>
      <c r="F69" s="116">
        <f t="shared" ref="F69:I69" si="4">SUM(F62:F68)</f>
        <v>0</v>
      </c>
      <c r="G69" s="116">
        <f t="shared" si="4"/>
        <v>0</v>
      </c>
      <c r="H69" s="116">
        <f t="shared" si="4"/>
        <v>0</v>
      </c>
      <c r="I69" s="116">
        <f t="shared" si="4"/>
        <v>0</v>
      </c>
      <c r="J69" s="116"/>
      <c r="K69" s="116">
        <f>SUM(K62:K68)</f>
        <v>0</v>
      </c>
      <c r="L69" s="117">
        <f>SUM(L62:L68)</f>
        <v>0</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1771" t="s">
        <v>47</v>
      </c>
      <c r="B71" s="1663" t="s">
        <v>171</v>
      </c>
      <c r="C71" s="68" t="s">
        <v>9</v>
      </c>
      <c r="D71" s="123" t="s">
        <v>49</v>
      </c>
      <c r="E71" s="123" t="s">
        <v>50</v>
      </c>
      <c r="F71" s="124" t="s">
        <v>51</v>
      </c>
      <c r="G71" s="1754" t="s">
        <v>52</v>
      </c>
      <c r="H71" s="126" t="s">
        <v>14</v>
      </c>
      <c r="I71" s="127" t="s">
        <v>15</v>
      </c>
      <c r="J71" s="128" t="s">
        <v>16</v>
      </c>
      <c r="K71" s="127" t="s">
        <v>17</v>
      </c>
      <c r="L71" s="127" t="s">
        <v>18</v>
      </c>
      <c r="M71" s="129" t="s">
        <v>19</v>
      </c>
      <c r="N71" s="128" t="s">
        <v>20</v>
      </c>
      <c r="O71" s="130" t="s">
        <v>21</v>
      </c>
    </row>
    <row r="72" spans="1:20" ht="15" customHeight="1">
      <c r="A72" s="2408" t="s">
        <v>580</v>
      </c>
      <c r="B72" s="1899"/>
      <c r="C72" s="72">
        <v>2014</v>
      </c>
      <c r="D72" s="131"/>
      <c r="E72" s="131"/>
      <c r="F72" s="131"/>
      <c r="G72" s="132">
        <f>SUM(D72:F72)</f>
        <v>0</v>
      </c>
      <c r="H72" s="30"/>
      <c r="I72" s="133"/>
      <c r="J72" s="109"/>
      <c r="K72" s="109"/>
      <c r="L72" s="109"/>
      <c r="M72" s="109"/>
      <c r="N72" s="109"/>
      <c r="O72" s="134"/>
    </row>
    <row r="73" spans="1:20">
      <c r="A73" s="2378"/>
      <c r="B73" s="1899"/>
      <c r="C73" s="73">
        <v>2015</v>
      </c>
      <c r="D73" s="135"/>
      <c r="E73" s="135"/>
      <c r="F73" s="135"/>
      <c r="G73" s="132">
        <f t="shared" ref="G73:G78" si="5">SUM(D73:F73)</f>
        <v>0</v>
      </c>
      <c r="H73" s="37"/>
      <c r="I73" s="37"/>
      <c r="J73" s="38"/>
      <c r="K73" s="38"/>
      <c r="L73" s="38"/>
      <c r="M73" s="38"/>
      <c r="N73" s="38"/>
      <c r="O73" s="88"/>
    </row>
    <row r="74" spans="1:20">
      <c r="A74" s="2378"/>
      <c r="B74" s="1899"/>
      <c r="C74" s="73">
        <v>2016</v>
      </c>
      <c r="D74" s="135">
        <v>2</v>
      </c>
      <c r="E74" s="135"/>
      <c r="F74" s="135"/>
      <c r="G74" s="132">
        <f t="shared" si="5"/>
        <v>2</v>
      </c>
      <c r="H74" s="37">
        <v>2</v>
      </c>
      <c r="I74" s="37"/>
      <c r="J74" s="38"/>
      <c r="K74" s="38"/>
      <c r="L74" s="38"/>
      <c r="M74" s="38"/>
      <c r="N74" s="38"/>
      <c r="O74" s="88"/>
    </row>
    <row r="75" spans="1:20">
      <c r="A75" s="2378"/>
      <c r="B75" s="1899"/>
      <c r="C75" s="73">
        <v>2017</v>
      </c>
      <c r="D75" s="135">
        <v>3</v>
      </c>
      <c r="E75" s="135"/>
      <c r="F75" s="135"/>
      <c r="G75" s="132">
        <f t="shared" si="5"/>
        <v>3</v>
      </c>
      <c r="H75" s="37">
        <v>3</v>
      </c>
      <c r="I75" s="37"/>
      <c r="J75" s="38"/>
      <c r="K75" s="38"/>
      <c r="L75" s="38"/>
      <c r="M75" s="38"/>
      <c r="N75" s="38"/>
      <c r="O75" s="88"/>
    </row>
    <row r="76" spans="1:20">
      <c r="A76" s="2378"/>
      <c r="B76" s="1899"/>
      <c r="C76" s="73">
        <v>2018</v>
      </c>
      <c r="D76" s="135"/>
      <c r="E76" s="135"/>
      <c r="F76" s="135"/>
      <c r="G76" s="132">
        <f t="shared" si="5"/>
        <v>0</v>
      </c>
      <c r="H76" s="37"/>
      <c r="I76" s="37"/>
      <c r="J76" s="38"/>
      <c r="K76" s="38"/>
      <c r="L76" s="38"/>
      <c r="M76" s="38"/>
      <c r="N76" s="38"/>
      <c r="O76" s="88"/>
    </row>
    <row r="77" spans="1:20" ht="15.75" customHeight="1">
      <c r="A77" s="2378"/>
      <c r="B77" s="1899"/>
      <c r="C77" s="73">
        <v>2019</v>
      </c>
      <c r="D77" s="135"/>
      <c r="E77" s="135"/>
      <c r="F77" s="135"/>
      <c r="G77" s="132">
        <f t="shared" si="5"/>
        <v>0</v>
      </c>
      <c r="H77" s="37"/>
      <c r="I77" s="37"/>
      <c r="J77" s="38"/>
      <c r="K77" s="38"/>
      <c r="L77" s="38"/>
      <c r="M77" s="38"/>
      <c r="N77" s="38"/>
      <c r="O77" s="88"/>
    </row>
    <row r="78" spans="1:20" ht="17.25" customHeight="1">
      <c r="A78" s="2378"/>
      <c r="B78" s="1899"/>
      <c r="C78" s="73">
        <v>2020</v>
      </c>
      <c r="D78" s="135"/>
      <c r="E78" s="135"/>
      <c r="F78" s="135"/>
      <c r="G78" s="132">
        <f t="shared" si="5"/>
        <v>0</v>
      </c>
      <c r="H78" s="37"/>
      <c r="I78" s="37"/>
      <c r="J78" s="38"/>
      <c r="K78" s="38"/>
      <c r="L78" s="38"/>
      <c r="M78" s="38"/>
      <c r="N78" s="38"/>
      <c r="O78" s="88"/>
    </row>
    <row r="79" spans="1:20" ht="20.25" customHeight="1" thickBot="1">
      <c r="A79" s="1980"/>
      <c r="B79" s="1900"/>
      <c r="C79" s="136" t="s">
        <v>13</v>
      </c>
      <c r="D79" s="114">
        <f>SUM(D72:D78)</f>
        <v>5</v>
      </c>
      <c r="E79" s="114">
        <f>SUM(E72:E78)</f>
        <v>0</v>
      </c>
      <c r="F79" s="114">
        <f>SUM(F72:F78)</f>
        <v>0</v>
      </c>
      <c r="G79" s="137">
        <f>SUM(G72:G78)</f>
        <v>5</v>
      </c>
      <c r="H79" s="138">
        <v>0</v>
      </c>
      <c r="I79" s="139">
        <f t="shared" ref="I79:O79" si="6">SUM(I72:I78)</f>
        <v>0</v>
      </c>
      <c r="J79" s="116">
        <f t="shared" si="6"/>
        <v>0</v>
      </c>
      <c r="K79" s="116">
        <f t="shared" si="6"/>
        <v>0</v>
      </c>
      <c r="L79" s="116">
        <f t="shared" si="6"/>
        <v>0</v>
      </c>
      <c r="M79" s="116">
        <f t="shared" si="6"/>
        <v>0</v>
      </c>
      <c r="N79" s="116">
        <f t="shared" si="6"/>
        <v>0</v>
      </c>
      <c r="O79" s="117">
        <f t="shared" si="6"/>
        <v>0</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1772" t="s">
        <v>56</v>
      </c>
      <c r="B84" s="1670" t="s">
        <v>178</v>
      </c>
      <c r="C84" s="149" t="s">
        <v>9</v>
      </c>
      <c r="D84" s="1755" t="s">
        <v>58</v>
      </c>
      <c r="E84" s="151" t="s">
        <v>59</v>
      </c>
      <c r="F84" s="152" t="s">
        <v>60</v>
      </c>
      <c r="G84" s="152" t="s">
        <v>61</v>
      </c>
      <c r="H84" s="152" t="s">
        <v>62</v>
      </c>
      <c r="I84" s="152" t="s">
        <v>63</v>
      </c>
      <c r="J84" s="152" t="s">
        <v>64</v>
      </c>
      <c r="K84" s="153" t="s">
        <v>65</v>
      </c>
    </row>
    <row r="85" spans="1:16" ht="15" customHeight="1">
      <c r="A85" s="2415" t="s">
        <v>581</v>
      </c>
      <c r="B85" s="1899"/>
      <c r="C85" s="72">
        <v>2014</v>
      </c>
      <c r="D85" s="154"/>
      <c r="E85" s="155"/>
      <c r="F85" s="31"/>
      <c r="G85" s="31"/>
      <c r="H85" s="31"/>
      <c r="I85" s="31"/>
      <c r="J85" s="31"/>
      <c r="K85" s="34"/>
    </row>
    <row r="86" spans="1:16">
      <c r="A86" s="2416"/>
      <c r="B86" s="1899"/>
      <c r="C86" s="73">
        <v>2015</v>
      </c>
      <c r="D86" s="156"/>
      <c r="E86" s="112"/>
      <c r="F86" s="38"/>
      <c r="G86" s="38"/>
      <c r="H86" s="38"/>
      <c r="I86" s="38"/>
      <c r="J86" s="38"/>
      <c r="K86" s="88"/>
    </row>
    <row r="87" spans="1:16">
      <c r="A87" s="2416"/>
      <c r="B87" s="1899"/>
      <c r="C87" s="73">
        <v>2016</v>
      </c>
      <c r="D87" s="156">
        <v>4</v>
      </c>
      <c r="E87" s="112">
        <v>4</v>
      </c>
      <c r="F87" s="38"/>
      <c r="G87" s="38"/>
      <c r="H87" s="38"/>
      <c r="I87" s="38"/>
      <c r="J87" s="38"/>
      <c r="K87" s="88"/>
    </row>
    <row r="88" spans="1:16">
      <c r="A88" s="2416"/>
      <c r="B88" s="1899"/>
      <c r="C88" s="73">
        <v>2017</v>
      </c>
      <c r="D88" s="156"/>
      <c r="E88" s="112"/>
      <c r="F88" s="38"/>
      <c r="G88" s="38"/>
      <c r="H88" s="38"/>
      <c r="I88" s="38"/>
      <c r="J88" s="38"/>
      <c r="K88" s="88"/>
    </row>
    <row r="89" spans="1:16">
      <c r="A89" s="2416"/>
      <c r="B89" s="1899"/>
      <c r="C89" s="73">
        <v>2018</v>
      </c>
      <c r="D89" s="156"/>
      <c r="E89" s="112"/>
      <c r="F89" s="38"/>
      <c r="G89" s="38"/>
      <c r="H89" s="38"/>
      <c r="I89" s="38"/>
      <c r="J89" s="38"/>
      <c r="K89" s="88"/>
    </row>
    <row r="90" spans="1:16">
      <c r="A90" s="2416"/>
      <c r="B90" s="1899"/>
      <c r="C90" s="73">
        <v>2019</v>
      </c>
      <c r="D90" s="156"/>
      <c r="E90" s="112"/>
      <c r="F90" s="38"/>
      <c r="G90" s="38"/>
      <c r="H90" s="38"/>
      <c r="I90" s="38"/>
      <c r="J90" s="38"/>
      <c r="K90" s="88"/>
    </row>
    <row r="91" spans="1:16">
      <c r="A91" s="2416"/>
      <c r="B91" s="1899"/>
      <c r="C91" s="73">
        <v>2020</v>
      </c>
      <c r="D91" s="156"/>
      <c r="E91" s="112"/>
      <c r="F91" s="38"/>
      <c r="G91" s="38"/>
      <c r="H91" s="38"/>
      <c r="I91" s="38"/>
      <c r="J91" s="38"/>
      <c r="K91" s="88"/>
    </row>
    <row r="92" spans="1:16" ht="18" customHeight="1" thickBot="1">
      <c r="A92" s="1940"/>
      <c r="B92" s="1900"/>
      <c r="C92" s="136" t="s">
        <v>13</v>
      </c>
      <c r="D92" s="157">
        <f t="shared" ref="D92:I92" si="7">SUM(D85:D91)</f>
        <v>4</v>
      </c>
      <c r="E92" s="115">
        <f t="shared" si="7"/>
        <v>4</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497" t="s">
        <v>68</v>
      </c>
      <c r="B96" s="2605" t="s">
        <v>179</v>
      </c>
      <c r="C96" s="2607" t="s">
        <v>9</v>
      </c>
      <c r="D96" s="2411" t="s">
        <v>70</v>
      </c>
      <c r="E96" s="2412"/>
      <c r="F96" s="1756" t="s">
        <v>71</v>
      </c>
      <c r="G96" s="1671"/>
      <c r="H96" s="1671"/>
      <c r="I96" s="1671"/>
      <c r="J96" s="1671"/>
      <c r="K96" s="1671"/>
      <c r="L96" s="1671"/>
      <c r="M96" s="1549"/>
      <c r="N96" s="165"/>
      <c r="O96" s="165"/>
      <c r="P96" s="165"/>
    </row>
    <row r="97" spans="1:16" ht="100.5" customHeight="1">
      <c r="A97" s="2406"/>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2399"/>
      <c r="B98" s="1899"/>
      <c r="C98" s="106">
        <v>2014</v>
      </c>
      <c r="D98" s="30"/>
      <c r="E98" s="31"/>
      <c r="F98" s="174"/>
      <c r="G98" s="175"/>
      <c r="H98" s="175"/>
      <c r="I98" s="175"/>
      <c r="J98" s="175"/>
      <c r="K98" s="175"/>
      <c r="L98" s="175"/>
      <c r="M98" s="176"/>
      <c r="N98" s="165"/>
      <c r="O98" s="165"/>
      <c r="P98" s="165"/>
    </row>
    <row r="99" spans="1:16" ht="16.5" customHeight="1">
      <c r="A99" s="2395"/>
      <c r="B99" s="1899"/>
      <c r="C99" s="110">
        <v>2015</v>
      </c>
      <c r="D99" s="37"/>
      <c r="E99" s="38"/>
      <c r="F99" s="177"/>
      <c r="G99" s="178"/>
      <c r="H99" s="178"/>
      <c r="I99" s="178"/>
      <c r="J99" s="178"/>
      <c r="K99" s="178"/>
      <c r="L99" s="178"/>
      <c r="M99" s="179"/>
      <c r="N99" s="165"/>
      <c r="O99" s="165"/>
      <c r="P99" s="165"/>
    </row>
    <row r="100" spans="1:16" ht="16.5" customHeight="1">
      <c r="A100" s="2395"/>
      <c r="B100" s="1899"/>
      <c r="C100" s="110">
        <v>2016</v>
      </c>
      <c r="D100" s="37"/>
      <c r="E100" s="38"/>
      <c r="F100" s="177"/>
      <c r="G100" s="178"/>
      <c r="H100" s="178"/>
      <c r="I100" s="178"/>
      <c r="J100" s="178"/>
      <c r="K100" s="178"/>
      <c r="L100" s="178"/>
      <c r="M100" s="179"/>
      <c r="N100" s="165"/>
      <c r="O100" s="165"/>
      <c r="P100" s="165"/>
    </row>
    <row r="101" spans="1:16" ht="16.5" customHeight="1">
      <c r="A101" s="2395"/>
      <c r="B101" s="1899"/>
      <c r="C101" s="110">
        <v>2017</v>
      </c>
      <c r="D101" s="37"/>
      <c r="E101" s="38"/>
      <c r="F101" s="177"/>
      <c r="G101" s="178"/>
      <c r="H101" s="178"/>
      <c r="I101" s="178"/>
      <c r="J101" s="178"/>
      <c r="K101" s="178"/>
      <c r="L101" s="178"/>
      <c r="M101" s="179"/>
      <c r="N101" s="165"/>
      <c r="O101" s="165"/>
      <c r="P101" s="165"/>
    </row>
    <row r="102" spans="1:16" ht="15.75" customHeight="1">
      <c r="A102" s="2395"/>
      <c r="B102" s="1899"/>
      <c r="C102" s="110">
        <v>2018</v>
      </c>
      <c r="D102" s="37"/>
      <c r="E102" s="38"/>
      <c r="F102" s="177"/>
      <c r="G102" s="178"/>
      <c r="H102" s="178"/>
      <c r="I102" s="178"/>
      <c r="J102" s="178"/>
      <c r="K102" s="178"/>
      <c r="L102" s="178"/>
      <c r="M102" s="179"/>
      <c r="N102" s="165"/>
      <c r="O102" s="165"/>
      <c r="P102" s="165"/>
    </row>
    <row r="103" spans="1:16" ht="14.25" customHeight="1">
      <c r="A103" s="2395"/>
      <c r="B103" s="1899"/>
      <c r="C103" s="110">
        <v>2019</v>
      </c>
      <c r="D103" s="37"/>
      <c r="E103" s="38"/>
      <c r="F103" s="177"/>
      <c r="G103" s="178"/>
      <c r="H103" s="178"/>
      <c r="I103" s="178"/>
      <c r="J103" s="178"/>
      <c r="K103" s="178"/>
      <c r="L103" s="178"/>
      <c r="M103" s="179"/>
      <c r="N103" s="165"/>
      <c r="O103" s="165"/>
      <c r="P103" s="165"/>
    </row>
    <row r="104" spans="1:16" ht="14.25" customHeight="1">
      <c r="A104" s="2395"/>
      <c r="B104" s="1899"/>
      <c r="C104" s="110">
        <v>2020</v>
      </c>
      <c r="D104" s="37"/>
      <c r="E104" s="38"/>
      <c r="F104" s="177"/>
      <c r="G104" s="178"/>
      <c r="H104" s="178"/>
      <c r="I104" s="178"/>
      <c r="J104" s="178"/>
      <c r="K104" s="178"/>
      <c r="L104" s="178"/>
      <c r="M104" s="179"/>
      <c r="N104" s="165"/>
      <c r="O104" s="165"/>
      <c r="P104" s="165"/>
    </row>
    <row r="105" spans="1:16" ht="19.5" customHeight="1" thickBot="1">
      <c r="A105" s="1915"/>
      <c r="B105" s="1900"/>
      <c r="C105" s="113" t="s">
        <v>13</v>
      </c>
      <c r="D105" s="139">
        <f>SUM(D98:D104)</f>
        <v>0</v>
      </c>
      <c r="E105" s="116">
        <f t="shared" ref="E105:K105" si="8">SUM(E98:E104)</f>
        <v>0</v>
      </c>
      <c r="F105" s="180">
        <f t="shared" si="8"/>
        <v>0</v>
      </c>
      <c r="G105" s="181">
        <f t="shared" si="8"/>
        <v>0</v>
      </c>
      <c r="H105" s="181">
        <f t="shared" si="8"/>
        <v>0</v>
      </c>
      <c r="I105" s="181">
        <f>SUM(I98:I104)</f>
        <v>0</v>
      </c>
      <c r="J105" s="181">
        <f t="shared" si="8"/>
        <v>0</v>
      </c>
      <c r="K105" s="181">
        <f t="shared" si="8"/>
        <v>0</v>
      </c>
      <c r="L105" s="181">
        <f>SUM(L98:L104)</f>
        <v>0</v>
      </c>
      <c r="M105" s="182">
        <f>SUM(M98:M104)</f>
        <v>0</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497" t="s">
        <v>77</v>
      </c>
      <c r="B107" s="2605" t="s">
        <v>179</v>
      </c>
      <c r="C107" s="2607" t="s">
        <v>9</v>
      </c>
      <c r="D107" s="2414" t="s">
        <v>78</v>
      </c>
      <c r="E107" s="1756" t="s">
        <v>79</v>
      </c>
      <c r="F107" s="1671"/>
      <c r="G107" s="1671"/>
      <c r="H107" s="1671"/>
      <c r="I107" s="1671"/>
      <c r="J107" s="1671"/>
      <c r="K107" s="1671"/>
      <c r="L107" s="1549"/>
      <c r="M107" s="185"/>
      <c r="N107" s="185"/>
    </row>
    <row r="108" spans="1:16" ht="103.5" customHeight="1">
      <c r="A108" s="2406"/>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2399"/>
      <c r="B109" s="1899"/>
      <c r="C109" s="106">
        <v>2014</v>
      </c>
      <c r="D109" s="31"/>
      <c r="E109" s="174"/>
      <c r="F109" s="175"/>
      <c r="G109" s="175"/>
      <c r="H109" s="175"/>
      <c r="I109" s="175"/>
      <c r="J109" s="175"/>
      <c r="K109" s="175"/>
      <c r="L109" s="176"/>
      <c r="M109" s="185"/>
      <c r="N109" s="185"/>
    </row>
    <row r="110" spans="1:16">
      <c r="A110" s="2395"/>
      <c r="B110" s="1899"/>
      <c r="C110" s="110">
        <v>2015</v>
      </c>
      <c r="D110" s="38"/>
      <c r="E110" s="177"/>
      <c r="F110" s="178"/>
      <c r="G110" s="178"/>
      <c r="H110" s="178"/>
      <c r="I110" s="178"/>
      <c r="J110" s="178"/>
      <c r="K110" s="178"/>
      <c r="L110" s="179"/>
      <c r="M110" s="185"/>
      <c r="N110" s="185"/>
    </row>
    <row r="111" spans="1:16">
      <c r="A111" s="2395"/>
      <c r="B111" s="1899"/>
      <c r="C111" s="110">
        <v>2016</v>
      </c>
      <c r="D111" s="38"/>
      <c r="E111" s="177"/>
      <c r="F111" s="178"/>
      <c r="G111" s="178"/>
      <c r="H111" s="178"/>
      <c r="I111" s="178"/>
      <c r="J111" s="178"/>
      <c r="K111" s="178"/>
      <c r="L111" s="179"/>
      <c r="M111" s="185"/>
      <c r="N111" s="185"/>
    </row>
    <row r="112" spans="1:16">
      <c r="A112" s="2395"/>
      <c r="B112" s="1899"/>
      <c r="C112" s="110">
        <v>2017</v>
      </c>
      <c r="D112" s="38"/>
      <c r="E112" s="177"/>
      <c r="F112" s="178"/>
      <c r="G112" s="178"/>
      <c r="H112" s="178"/>
      <c r="I112" s="178"/>
      <c r="J112" s="178"/>
      <c r="K112" s="178"/>
      <c r="L112" s="179"/>
      <c r="M112" s="185"/>
      <c r="N112" s="185"/>
    </row>
    <row r="113" spans="1:14">
      <c r="A113" s="2395"/>
      <c r="B113" s="1899"/>
      <c r="C113" s="110">
        <v>2018</v>
      </c>
      <c r="D113" s="38"/>
      <c r="E113" s="177"/>
      <c r="F113" s="178"/>
      <c r="G113" s="178"/>
      <c r="H113" s="178"/>
      <c r="I113" s="178"/>
      <c r="J113" s="178"/>
      <c r="K113" s="178"/>
      <c r="L113" s="179"/>
      <c r="M113" s="185"/>
      <c r="N113" s="185"/>
    </row>
    <row r="114" spans="1:14">
      <c r="A114" s="2395"/>
      <c r="B114" s="1899"/>
      <c r="C114" s="110">
        <v>2019</v>
      </c>
      <c r="D114" s="38"/>
      <c r="E114" s="177"/>
      <c r="F114" s="178"/>
      <c r="G114" s="178"/>
      <c r="H114" s="178"/>
      <c r="I114" s="178"/>
      <c r="J114" s="178"/>
      <c r="K114" s="178"/>
      <c r="L114" s="179"/>
      <c r="M114" s="185"/>
      <c r="N114" s="185"/>
    </row>
    <row r="115" spans="1:14">
      <c r="A115" s="2395"/>
      <c r="B115" s="1899"/>
      <c r="C115" s="110">
        <v>2020</v>
      </c>
      <c r="D115" s="38"/>
      <c r="E115" s="177"/>
      <c r="F115" s="178"/>
      <c r="G115" s="178"/>
      <c r="H115" s="178"/>
      <c r="I115" s="178"/>
      <c r="J115" s="178"/>
      <c r="K115" s="178"/>
      <c r="L115" s="179"/>
      <c r="M115" s="185"/>
      <c r="N115" s="185"/>
    </row>
    <row r="116" spans="1:14" ht="25.5" customHeight="1" thickBot="1">
      <c r="A116" s="1915"/>
      <c r="B116" s="1900"/>
      <c r="C116" s="113" t="s">
        <v>13</v>
      </c>
      <c r="D116" s="116">
        <f t="shared" ref="D116:I116" si="9">SUM(D109:D115)</f>
        <v>0</v>
      </c>
      <c r="E116" s="180">
        <f t="shared" si="9"/>
        <v>0</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497" t="s">
        <v>81</v>
      </c>
      <c r="B118" s="2605" t="s">
        <v>179</v>
      </c>
      <c r="C118" s="2607" t="s">
        <v>9</v>
      </c>
      <c r="D118" s="2414" t="s">
        <v>82</v>
      </c>
      <c r="E118" s="1756" t="s">
        <v>79</v>
      </c>
      <c r="F118" s="1671"/>
      <c r="G118" s="1671"/>
      <c r="H118" s="1671"/>
      <c r="I118" s="1671"/>
      <c r="J118" s="1671"/>
      <c r="K118" s="1671"/>
      <c r="L118" s="1549"/>
      <c r="M118" s="185"/>
      <c r="N118" s="185"/>
    </row>
    <row r="119" spans="1:14" ht="120.75" customHeight="1">
      <c r="A119" s="2406"/>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2399"/>
      <c r="B120" s="1899"/>
      <c r="C120" s="106">
        <v>2014</v>
      </c>
      <c r="D120" s="31"/>
      <c r="E120" s="174"/>
      <c r="F120" s="175"/>
      <c r="G120" s="175"/>
      <c r="H120" s="175"/>
      <c r="I120" s="175"/>
      <c r="J120" s="175"/>
      <c r="K120" s="175"/>
      <c r="L120" s="176"/>
      <c r="M120" s="185"/>
      <c r="N120" s="185"/>
    </row>
    <row r="121" spans="1:14">
      <c r="A121" s="2395"/>
      <c r="B121" s="1899"/>
      <c r="C121" s="110">
        <v>2015</v>
      </c>
      <c r="D121" s="38"/>
      <c r="E121" s="177"/>
      <c r="F121" s="178"/>
      <c r="G121" s="178"/>
      <c r="H121" s="178"/>
      <c r="I121" s="178"/>
      <c r="J121" s="178"/>
      <c r="K121" s="178"/>
      <c r="L121" s="179"/>
      <c r="M121" s="185"/>
      <c r="N121" s="185"/>
    </row>
    <row r="122" spans="1:14">
      <c r="A122" s="2395"/>
      <c r="B122" s="1899"/>
      <c r="C122" s="110">
        <v>2016</v>
      </c>
      <c r="D122" s="38"/>
      <c r="E122" s="177"/>
      <c r="F122" s="178"/>
      <c r="G122" s="178"/>
      <c r="H122" s="178"/>
      <c r="I122" s="178"/>
      <c r="J122" s="178"/>
      <c r="K122" s="178"/>
      <c r="L122" s="179"/>
      <c r="M122" s="185"/>
      <c r="N122" s="185"/>
    </row>
    <row r="123" spans="1:14">
      <c r="A123" s="2395"/>
      <c r="B123" s="1899"/>
      <c r="C123" s="110">
        <v>2017</v>
      </c>
      <c r="D123" s="38"/>
      <c r="E123" s="177"/>
      <c r="F123" s="178"/>
      <c r="G123" s="178"/>
      <c r="H123" s="178"/>
      <c r="I123" s="178"/>
      <c r="J123" s="178"/>
      <c r="K123" s="178"/>
      <c r="L123" s="179"/>
      <c r="M123" s="185"/>
      <c r="N123" s="185"/>
    </row>
    <row r="124" spans="1:14">
      <c r="A124" s="2395"/>
      <c r="B124" s="1899"/>
      <c r="C124" s="110">
        <v>2018</v>
      </c>
      <c r="D124" s="38"/>
      <c r="E124" s="177"/>
      <c r="F124" s="178"/>
      <c r="G124" s="178"/>
      <c r="H124" s="178"/>
      <c r="I124" s="178"/>
      <c r="J124" s="178"/>
      <c r="K124" s="178"/>
      <c r="L124" s="179"/>
      <c r="M124" s="185"/>
      <c r="N124" s="185"/>
    </row>
    <row r="125" spans="1:14">
      <c r="A125" s="2395"/>
      <c r="B125" s="1899"/>
      <c r="C125" s="110">
        <v>2019</v>
      </c>
      <c r="D125" s="38"/>
      <c r="E125" s="177"/>
      <c r="F125" s="178"/>
      <c r="G125" s="178"/>
      <c r="H125" s="178"/>
      <c r="I125" s="178"/>
      <c r="J125" s="178"/>
      <c r="K125" s="178"/>
      <c r="L125" s="179"/>
      <c r="M125" s="185"/>
      <c r="N125" s="185"/>
    </row>
    <row r="126" spans="1:14">
      <c r="A126" s="2395"/>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497" t="s">
        <v>84</v>
      </c>
      <c r="B129" s="2605" t="s">
        <v>179</v>
      </c>
      <c r="C129" s="1745" t="s">
        <v>9</v>
      </c>
      <c r="D129" s="1758" t="s">
        <v>85</v>
      </c>
      <c r="E129" s="1674"/>
      <c r="F129" s="1674"/>
      <c r="G129" s="1759"/>
      <c r="H129" s="185"/>
      <c r="I129" s="185"/>
      <c r="J129" s="185"/>
      <c r="K129" s="185"/>
      <c r="L129" s="185"/>
      <c r="M129" s="185"/>
      <c r="N129" s="185"/>
    </row>
    <row r="130" spans="1:16" ht="77.25" customHeight="1">
      <c r="A130" s="2406"/>
      <c r="B130" s="1912"/>
      <c r="C130" s="1741"/>
      <c r="D130" s="166" t="s">
        <v>86</v>
      </c>
      <c r="E130" s="193" t="s">
        <v>87</v>
      </c>
      <c r="F130" s="167" t="s">
        <v>88</v>
      </c>
      <c r="G130" s="194" t="s">
        <v>13</v>
      </c>
      <c r="H130" s="185"/>
      <c r="I130" s="185"/>
      <c r="J130" s="185"/>
      <c r="K130" s="185"/>
      <c r="L130" s="185"/>
      <c r="M130" s="185"/>
      <c r="N130" s="185"/>
    </row>
    <row r="131" spans="1:16" ht="15" customHeight="1">
      <c r="A131" s="2408"/>
      <c r="B131" s="1855"/>
      <c r="C131" s="106">
        <v>2015</v>
      </c>
      <c r="D131" s="30"/>
      <c r="E131" s="31"/>
      <c r="F131" s="31"/>
      <c r="G131" s="195">
        <f t="shared" ref="G131:G136" si="11">SUM(D131:F131)</f>
        <v>0</v>
      </c>
      <c r="H131" s="185"/>
      <c r="I131" s="185"/>
      <c r="J131" s="185"/>
      <c r="K131" s="185"/>
      <c r="L131" s="185"/>
      <c r="M131" s="185"/>
      <c r="N131" s="185"/>
    </row>
    <row r="132" spans="1:16">
      <c r="A132" s="2378"/>
      <c r="B132" s="1855"/>
      <c r="C132" s="110">
        <v>2016</v>
      </c>
      <c r="D132" s="37"/>
      <c r="E132" s="38"/>
      <c r="F132" s="38"/>
      <c r="G132" s="195">
        <f t="shared" si="11"/>
        <v>0</v>
      </c>
      <c r="H132" s="185"/>
      <c r="I132" s="185"/>
      <c r="J132" s="185"/>
      <c r="K132" s="185"/>
      <c r="L132" s="185"/>
      <c r="M132" s="185"/>
      <c r="N132" s="185"/>
    </row>
    <row r="133" spans="1:16">
      <c r="A133" s="2378"/>
      <c r="B133" s="1855"/>
      <c r="C133" s="110">
        <v>2017</v>
      </c>
      <c r="D133" s="37"/>
      <c r="E133" s="38"/>
      <c r="F133" s="38"/>
      <c r="G133" s="195">
        <f t="shared" si="11"/>
        <v>0</v>
      </c>
      <c r="H133" s="185"/>
      <c r="I133" s="185"/>
      <c r="J133" s="185"/>
      <c r="K133" s="185"/>
      <c r="L133" s="185"/>
      <c r="M133" s="185"/>
      <c r="N133" s="185"/>
    </row>
    <row r="134" spans="1:16">
      <c r="A134" s="2378"/>
      <c r="B134" s="1855"/>
      <c r="C134" s="110">
        <v>2018</v>
      </c>
      <c r="D134" s="37"/>
      <c r="E134" s="38"/>
      <c r="F134" s="38"/>
      <c r="G134" s="195">
        <f t="shared" si="11"/>
        <v>0</v>
      </c>
      <c r="H134" s="185"/>
      <c r="I134" s="185"/>
      <c r="J134" s="185"/>
      <c r="K134" s="185"/>
      <c r="L134" s="185"/>
      <c r="M134" s="185"/>
      <c r="N134" s="185"/>
    </row>
    <row r="135" spans="1:16">
      <c r="A135" s="2378"/>
      <c r="B135" s="1855"/>
      <c r="C135" s="110">
        <v>2019</v>
      </c>
      <c r="D135" s="37"/>
      <c r="E135" s="38"/>
      <c r="F135" s="38"/>
      <c r="G135" s="195">
        <f t="shared" si="11"/>
        <v>0</v>
      </c>
      <c r="H135" s="185"/>
      <c r="I135" s="185"/>
      <c r="J135" s="185"/>
      <c r="K135" s="185"/>
      <c r="L135" s="185"/>
      <c r="M135" s="185"/>
      <c r="N135" s="185"/>
    </row>
    <row r="136" spans="1:16">
      <c r="A136" s="2378"/>
      <c r="B136" s="1855"/>
      <c r="C136" s="110">
        <v>2020</v>
      </c>
      <c r="D136" s="37"/>
      <c r="E136" s="38"/>
      <c r="F136" s="38"/>
      <c r="G136" s="195">
        <f t="shared" si="11"/>
        <v>0</v>
      </c>
      <c r="H136" s="185"/>
      <c r="I136" s="185"/>
      <c r="J136" s="185"/>
      <c r="K136" s="185"/>
      <c r="L136" s="185"/>
      <c r="M136" s="185"/>
      <c r="N136" s="185"/>
    </row>
    <row r="137" spans="1:16" ht="17.25" customHeight="1" thickBot="1">
      <c r="A137" s="1856"/>
      <c r="B137" s="1857"/>
      <c r="C137" s="113" t="s">
        <v>13</v>
      </c>
      <c r="D137" s="139">
        <f>SUM(D131:D136)</f>
        <v>0</v>
      </c>
      <c r="E137" s="139">
        <f t="shared" ref="E137:F137" si="12">SUM(E131:E136)</f>
        <v>0</v>
      </c>
      <c r="F137" s="139">
        <f t="shared" si="12"/>
        <v>0</v>
      </c>
      <c r="G137" s="196">
        <f>SUM(G131:G136)</f>
        <v>0</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500" t="s">
        <v>91</v>
      </c>
      <c r="B142" s="2601" t="s">
        <v>179</v>
      </c>
      <c r="C142" s="2603" t="s">
        <v>9</v>
      </c>
      <c r="D142" s="1675" t="s">
        <v>92</v>
      </c>
      <c r="E142" s="1676"/>
      <c r="F142" s="1676"/>
      <c r="G142" s="1676"/>
      <c r="H142" s="1676"/>
      <c r="I142" s="1677"/>
      <c r="J142" s="2597" t="s">
        <v>93</v>
      </c>
      <c r="K142" s="2598"/>
      <c r="L142" s="2598"/>
      <c r="M142" s="2598"/>
      <c r="N142" s="2599"/>
      <c r="O142" s="165"/>
      <c r="P142" s="165"/>
    </row>
    <row r="143" spans="1:16" ht="113.25" customHeight="1">
      <c r="A143" s="2410"/>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2399"/>
      <c r="B144" s="1899"/>
      <c r="C144" s="106">
        <v>2014</v>
      </c>
      <c r="D144" s="30"/>
      <c r="E144" s="30"/>
      <c r="F144" s="31"/>
      <c r="G144" s="175"/>
      <c r="H144" s="175"/>
      <c r="I144" s="213">
        <f>D144+F144+G144+H144</f>
        <v>0</v>
      </c>
      <c r="J144" s="214"/>
      <c r="K144" s="215"/>
      <c r="L144" s="214"/>
      <c r="M144" s="215"/>
      <c r="N144" s="216"/>
      <c r="O144" s="165"/>
      <c r="P144" s="165"/>
    </row>
    <row r="145" spans="1:16" ht="19.5" customHeight="1">
      <c r="A145" s="2395"/>
      <c r="B145" s="1899"/>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2395"/>
      <c r="B146" s="1899"/>
      <c r="C146" s="110">
        <v>2016</v>
      </c>
      <c r="D146" s="37"/>
      <c r="E146" s="37"/>
      <c r="F146" s="38"/>
      <c r="G146" s="178"/>
      <c r="H146" s="178"/>
      <c r="I146" s="213">
        <f t="shared" si="13"/>
        <v>0</v>
      </c>
      <c r="J146" s="217"/>
      <c r="K146" s="218"/>
      <c r="L146" s="217"/>
      <c r="M146" s="218"/>
      <c r="N146" s="219"/>
      <c r="O146" s="165"/>
      <c r="P146" s="165"/>
    </row>
    <row r="147" spans="1:16" ht="17.25" customHeight="1">
      <c r="A147" s="2395"/>
      <c r="B147" s="1899"/>
      <c r="C147" s="110">
        <v>2017</v>
      </c>
      <c r="D147" s="37"/>
      <c r="E147" s="37"/>
      <c r="F147" s="38"/>
      <c r="G147" s="178"/>
      <c r="H147" s="178"/>
      <c r="I147" s="213">
        <f t="shared" si="13"/>
        <v>0</v>
      </c>
      <c r="J147" s="217"/>
      <c r="K147" s="218"/>
      <c r="L147" s="217"/>
      <c r="M147" s="218"/>
      <c r="N147" s="219"/>
      <c r="O147" s="165"/>
      <c r="P147" s="165"/>
    </row>
    <row r="148" spans="1:16" ht="19.5" customHeight="1">
      <c r="A148" s="2395"/>
      <c r="B148" s="1899"/>
      <c r="C148" s="110">
        <v>2018</v>
      </c>
      <c r="D148" s="37"/>
      <c r="E148" s="37"/>
      <c r="F148" s="38"/>
      <c r="G148" s="178"/>
      <c r="H148" s="178"/>
      <c r="I148" s="213">
        <f t="shared" si="13"/>
        <v>0</v>
      </c>
      <c r="J148" s="217"/>
      <c r="K148" s="218"/>
      <c r="L148" s="217"/>
      <c r="M148" s="218"/>
      <c r="N148" s="219"/>
      <c r="O148" s="165"/>
      <c r="P148" s="165"/>
    </row>
    <row r="149" spans="1:16" ht="19.5" customHeight="1">
      <c r="A149" s="2395"/>
      <c r="B149" s="1899"/>
      <c r="C149" s="110">
        <v>2019</v>
      </c>
      <c r="D149" s="37"/>
      <c r="E149" s="37"/>
      <c r="F149" s="38"/>
      <c r="G149" s="178"/>
      <c r="H149" s="178"/>
      <c r="I149" s="213">
        <f t="shared" si="13"/>
        <v>0</v>
      </c>
      <c r="J149" s="217"/>
      <c r="K149" s="218"/>
      <c r="L149" s="217"/>
      <c r="M149" s="218"/>
      <c r="N149" s="219"/>
      <c r="O149" s="165"/>
      <c r="P149" s="165"/>
    </row>
    <row r="150" spans="1:16" ht="18.75" customHeight="1">
      <c r="A150" s="2395"/>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2646" t="s">
        <v>105</v>
      </c>
      <c r="B153" s="2601" t="s">
        <v>179</v>
      </c>
      <c r="C153" s="2602" t="s">
        <v>9</v>
      </c>
      <c r="D153" s="1678" t="s">
        <v>106</v>
      </c>
      <c r="E153" s="1678"/>
      <c r="F153" s="1679"/>
      <c r="G153" s="1679"/>
      <c r="H153" s="1678" t="s">
        <v>107</v>
      </c>
      <c r="I153" s="1678"/>
      <c r="J153" s="1565"/>
      <c r="K153" s="56"/>
      <c r="L153" s="56"/>
      <c r="M153" s="56"/>
      <c r="N153" s="56"/>
      <c r="O153" s="165"/>
      <c r="P153" s="165"/>
    </row>
    <row r="154" spans="1:16" ht="49.5" customHeight="1">
      <c r="A154" s="2401"/>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2399"/>
      <c r="B155" s="1899"/>
      <c r="C155" s="233">
        <v>2014</v>
      </c>
      <c r="D155" s="214"/>
      <c r="E155" s="175"/>
      <c r="F155" s="215"/>
      <c r="G155" s="213">
        <f>SUM(D155:F155)</f>
        <v>0</v>
      </c>
      <c r="H155" s="214"/>
      <c r="I155" s="175"/>
      <c r="J155" s="176"/>
      <c r="O155" s="165"/>
      <c r="P155" s="165"/>
    </row>
    <row r="156" spans="1:16" ht="19.5" customHeight="1">
      <c r="A156" s="2395"/>
      <c r="B156" s="1899"/>
      <c r="C156" s="234">
        <v>2015</v>
      </c>
      <c r="D156" s="217"/>
      <c r="E156" s="178"/>
      <c r="F156" s="218"/>
      <c r="G156" s="213">
        <f t="shared" ref="G156:G161" si="15">SUM(D156:F156)</f>
        <v>0</v>
      </c>
      <c r="H156" s="217"/>
      <c r="I156" s="178"/>
      <c r="J156" s="179"/>
      <c r="O156" s="165"/>
      <c r="P156" s="165"/>
    </row>
    <row r="157" spans="1:16" ht="17.25" customHeight="1">
      <c r="A157" s="2395"/>
      <c r="B157" s="1899"/>
      <c r="C157" s="234">
        <v>2016</v>
      </c>
      <c r="D157" s="217"/>
      <c r="E157" s="178"/>
      <c r="F157" s="218"/>
      <c r="G157" s="213">
        <f t="shared" si="15"/>
        <v>0</v>
      </c>
      <c r="H157" s="217"/>
      <c r="I157" s="178"/>
      <c r="J157" s="179"/>
      <c r="O157" s="165"/>
      <c r="P157" s="165"/>
    </row>
    <row r="158" spans="1:16" ht="15" customHeight="1">
      <c r="A158" s="2395"/>
      <c r="B158" s="1899"/>
      <c r="C158" s="234">
        <v>2017</v>
      </c>
      <c r="D158" s="217"/>
      <c r="E158" s="178"/>
      <c r="F158" s="218"/>
      <c r="G158" s="213">
        <f t="shared" si="15"/>
        <v>0</v>
      </c>
      <c r="H158" s="217"/>
      <c r="I158" s="178"/>
      <c r="J158" s="179"/>
      <c r="O158" s="165"/>
      <c r="P158" s="165"/>
    </row>
    <row r="159" spans="1:16" ht="19.5" customHeight="1">
      <c r="A159" s="2395"/>
      <c r="B159" s="1899"/>
      <c r="C159" s="234">
        <v>2018</v>
      </c>
      <c r="D159" s="217"/>
      <c r="E159" s="178"/>
      <c r="F159" s="218"/>
      <c r="G159" s="213">
        <f t="shared" si="15"/>
        <v>0</v>
      </c>
      <c r="H159" s="217"/>
      <c r="I159" s="178"/>
      <c r="J159" s="179"/>
      <c r="O159" s="165"/>
      <c r="P159" s="165"/>
    </row>
    <row r="160" spans="1:16" ht="15" customHeight="1">
      <c r="A160" s="2395"/>
      <c r="B160" s="1899"/>
      <c r="C160" s="234">
        <v>2019</v>
      </c>
      <c r="D160" s="217"/>
      <c r="E160" s="178"/>
      <c r="F160" s="218"/>
      <c r="G160" s="213">
        <f t="shared" si="15"/>
        <v>0</v>
      </c>
      <c r="H160" s="217"/>
      <c r="I160" s="178"/>
      <c r="J160" s="179"/>
      <c r="O160" s="165"/>
      <c r="P160" s="165"/>
    </row>
    <row r="161" spans="1:18" ht="17.25" customHeight="1">
      <c r="A161" s="2395"/>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1681"/>
      <c r="F163" s="165"/>
      <c r="G163" s="165"/>
      <c r="H163" s="165"/>
      <c r="I163" s="165"/>
      <c r="J163" s="241"/>
      <c r="K163" s="242"/>
    </row>
    <row r="164" spans="1:18" ht="95.25" customHeight="1">
      <c r="A164" s="1760" t="s">
        <v>115</v>
      </c>
      <c r="B164" s="405" t="s">
        <v>181</v>
      </c>
      <c r="C164" s="1567" t="s">
        <v>9</v>
      </c>
      <c r="D164" s="246" t="s">
        <v>117</v>
      </c>
      <c r="E164" s="246" t="s">
        <v>118</v>
      </c>
      <c r="F164" s="1682" t="s">
        <v>119</v>
      </c>
      <c r="G164" s="246" t="s">
        <v>120</v>
      </c>
      <c r="H164" s="246" t="s">
        <v>121</v>
      </c>
      <c r="I164" s="248" t="s">
        <v>122</v>
      </c>
      <c r="J164" s="1761" t="s">
        <v>123</v>
      </c>
      <c r="K164" s="1761" t="s">
        <v>124</v>
      </c>
      <c r="L164" s="1721"/>
    </row>
    <row r="165" spans="1:18" ht="15.75" customHeight="1">
      <c r="A165" s="1878"/>
      <c r="B165" s="1879"/>
      <c r="C165" s="251">
        <v>2014</v>
      </c>
      <c r="D165" s="175"/>
      <c r="E165" s="175"/>
      <c r="F165" s="175"/>
      <c r="G165" s="175"/>
      <c r="H165" s="175"/>
      <c r="I165" s="176"/>
      <c r="J165" s="1683">
        <f>SUM(D165,F165,H165)</f>
        <v>0</v>
      </c>
      <c r="K165" s="253">
        <f>SUM(E165,G165,I165)</f>
        <v>0</v>
      </c>
      <c r="L165" s="1721"/>
    </row>
    <row r="166" spans="1:18">
      <c r="A166" s="1880"/>
      <c r="B166" s="1881"/>
      <c r="C166" s="254">
        <v>2015</v>
      </c>
      <c r="D166" s="255"/>
      <c r="E166" s="255"/>
      <c r="F166" s="255"/>
      <c r="G166" s="255"/>
      <c r="H166" s="255"/>
      <c r="I166" s="256"/>
      <c r="J166" s="1684">
        <f t="shared" ref="J166:K171" si="17">SUM(D166,F166,H166)</f>
        <v>0</v>
      </c>
      <c r="K166" s="408">
        <f t="shared" si="17"/>
        <v>0</v>
      </c>
      <c r="L166" s="1721"/>
    </row>
    <row r="167" spans="1:18">
      <c r="A167" s="1880"/>
      <c r="B167" s="1881"/>
      <c r="C167" s="254">
        <v>2016</v>
      </c>
      <c r="D167" s="255"/>
      <c r="E167" s="255"/>
      <c r="F167" s="255"/>
      <c r="G167" s="255"/>
      <c r="H167" s="255"/>
      <c r="I167" s="256"/>
      <c r="J167" s="1684">
        <f t="shared" si="17"/>
        <v>0</v>
      </c>
      <c r="K167" s="408">
        <f t="shared" si="17"/>
        <v>0</v>
      </c>
    </row>
    <row r="168" spans="1:18">
      <c r="A168" s="1880"/>
      <c r="B168" s="1881"/>
      <c r="C168" s="254">
        <v>2017</v>
      </c>
      <c r="D168" s="255"/>
      <c r="E168" s="165"/>
      <c r="F168" s="255"/>
      <c r="G168" s="255"/>
      <c r="H168" s="255"/>
      <c r="I168" s="256"/>
      <c r="J168" s="1684">
        <f t="shared" si="17"/>
        <v>0</v>
      </c>
      <c r="K168" s="408">
        <f t="shared" si="17"/>
        <v>0</v>
      </c>
    </row>
    <row r="169" spans="1:18">
      <c r="A169" s="1880"/>
      <c r="B169" s="1881"/>
      <c r="C169" s="262">
        <v>2018</v>
      </c>
      <c r="D169" s="255"/>
      <c r="E169" s="255"/>
      <c r="F169" s="255"/>
      <c r="G169" s="263"/>
      <c r="H169" s="255"/>
      <c r="I169" s="256"/>
      <c r="J169" s="1684">
        <f t="shared" si="17"/>
        <v>0</v>
      </c>
      <c r="K169" s="408">
        <f t="shared" si="17"/>
        <v>0</v>
      </c>
      <c r="L169" s="1721"/>
    </row>
    <row r="170" spans="1:18">
      <c r="A170" s="1880"/>
      <c r="B170" s="1881"/>
      <c r="C170" s="254">
        <v>2019</v>
      </c>
      <c r="D170" s="165"/>
      <c r="E170" s="255"/>
      <c r="F170" s="255"/>
      <c r="G170" s="255"/>
      <c r="H170" s="263"/>
      <c r="I170" s="256"/>
      <c r="J170" s="1684">
        <f t="shared" si="17"/>
        <v>0</v>
      </c>
      <c r="K170" s="408">
        <f t="shared" si="17"/>
        <v>0</v>
      </c>
      <c r="L170" s="1721"/>
    </row>
    <row r="171" spans="1:18">
      <c r="A171" s="1880"/>
      <c r="B171" s="1881"/>
      <c r="C171" s="262">
        <v>2020</v>
      </c>
      <c r="D171" s="255"/>
      <c r="E171" s="255"/>
      <c r="F171" s="255"/>
      <c r="G171" s="255"/>
      <c r="H171" s="255"/>
      <c r="I171" s="256"/>
      <c r="J171" s="1684">
        <f t="shared" si="17"/>
        <v>0</v>
      </c>
      <c r="K171" s="408">
        <f t="shared" si="17"/>
        <v>0</v>
      </c>
      <c r="L171" s="1721"/>
    </row>
    <row r="172" spans="1:18" ht="41.25" customHeight="1" thickBot="1">
      <c r="A172" s="1882"/>
      <c r="B172" s="1883"/>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1721"/>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503" t="s">
        <v>127</v>
      </c>
      <c r="B176" s="2585" t="s">
        <v>182</v>
      </c>
      <c r="C176" s="2590" t="s">
        <v>9</v>
      </c>
      <c r="D176" s="1762" t="s">
        <v>128</v>
      </c>
      <c r="E176" s="1685"/>
      <c r="F176" s="1685"/>
      <c r="G176" s="1686"/>
      <c r="H176" s="1763"/>
      <c r="I176" s="2392" t="s">
        <v>129</v>
      </c>
      <c r="J176" s="2591"/>
      <c r="K176" s="2591"/>
      <c r="L176" s="2591"/>
      <c r="M176" s="2591"/>
      <c r="N176" s="2591"/>
      <c r="O176" s="2394"/>
    </row>
    <row r="177" spans="1:15" s="56" customFormat="1" ht="129.75" customHeight="1">
      <c r="A177" s="2469"/>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2395"/>
      <c r="B178" s="1899"/>
      <c r="C178" s="106">
        <v>2014</v>
      </c>
      <c r="D178" s="30"/>
      <c r="E178" s="31"/>
      <c r="F178" s="31"/>
      <c r="G178" s="284">
        <f>SUM(D178:F178)</f>
        <v>0</v>
      </c>
      <c r="H178" s="155"/>
      <c r="I178" s="155"/>
      <c r="J178" s="31"/>
      <c r="K178" s="31"/>
      <c r="L178" s="31"/>
      <c r="M178" s="31"/>
      <c r="N178" s="31"/>
      <c r="O178" s="34"/>
    </row>
    <row r="179" spans="1:15">
      <c r="A179" s="2395"/>
      <c r="B179" s="1899"/>
      <c r="C179" s="110">
        <v>2015</v>
      </c>
      <c r="D179" s="37"/>
      <c r="E179" s="38"/>
      <c r="F179" s="38"/>
      <c r="G179" s="284">
        <f t="shared" ref="G179:G184" si="19">SUM(D179:F179)</f>
        <v>0</v>
      </c>
      <c r="H179" s="411"/>
      <c r="I179" s="112"/>
      <c r="J179" s="38"/>
      <c r="K179" s="38"/>
      <c r="L179" s="38"/>
      <c r="M179" s="38"/>
      <c r="N179" s="38"/>
      <c r="O179" s="88"/>
    </row>
    <row r="180" spans="1:15">
      <c r="A180" s="2395"/>
      <c r="B180" s="1899"/>
      <c r="C180" s="110">
        <v>2016</v>
      </c>
      <c r="D180" s="37"/>
      <c r="E180" s="38"/>
      <c r="F180" s="38"/>
      <c r="G180" s="284">
        <f t="shared" si="19"/>
        <v>0</v>
      </c>
      <c r="H180" s="411"/>
      <c r="I180" s="112"/>
      <c r="J180" s="38"/>
      <c r="K180" s="38"/>
      <c r="L180" s="38"/>
      <c r="M180" s="38"/>
      <c r="N180" s="38"/>
      <c r="O180" s="88"/>
    </row>
    <row r="181" spans="1:15">
      <c r="A181" s="2395"/>
      <c r="B181" s="1899"/>
      <c r="C181" s="110">
        <v>2017</v>
      </c>
      <c r="D181" s="37"/>
      <c r="E181" s="38"/>
      <c r="F181" s="38"/>
      <c r="G181" s="284">
        <f t="shared" si="19"/>
        <v>0</v>
      </c>
      <c r="H181" s="411"/>
      <c r="I181" s="112"/>
      <c r="J181" s="38"/>
      <c r="K181" s="38"/>
      <c r="L181" s="38"/>
      <c r="M181" s="38"/>
      <c r="N181" s="38"/>
      <c r="O181" s="88"/>
    </row>
    <row r="182" spans="1:15">
      <c r="A182" s="2395"/>
      <c r="B182" s="1899"/>
      <c r="C182" s="110">
        <v>2018</v>
      </c>
      <c r="D182" s="37"/>
      <c r="E182" s="38"/>
      <c r="F182" s="38"/>
      <c r="G182" s="284">
        <f t="shared" si="19"/>
        <v>0</v>
      </c>
      <c r="H182" s="411"/>
      <c r="I182" s="112"/>
      <c r="J182" s="38"/>
      <c r="K182" s="38"/>
      <c r="L182" s="38"/>
      <c r="M182" s="38"/>
      <c r="N182" s="38"/>
      <c r="O182" s="88"/>
    </row>
    <row r="183" spans="1:15">
      <c r="A183" s="2395"/>
      <c r="B183" s="1899"/>
      <c r="C183" s="110">
        <v>2019</v>
      </c>
      <c r="D183" s="37"/>
      <c r="E183" s="38"/>
      <c r="F183" s="38"/>
      <c r="G183" s="284">
        <f t="shared" si="19"/>
        <v>0</v>
      </c>
      <c r="H183" s="411"/>
      <c r="I183" s="112"/>
      <c r="J183" s="38"/>
      <c r="K183" s="38"/>
      <c r="L183" s="38"/>
      <c r="M183" s="38"/>
      <c r="N183" s="38"/>
      <c r="O183" s="88"/>
    </row>
    <row r="184" spans="1:15">
      <c r="A184" s="2395"/>
      <c r="B184" s="1899"/>
      <c r="C184" s="110">
        <v>2020</v>
      </c>
      <c r="D184" s="37"/>
      <c r="E184" s="38"/>
      <c r="F184" s="38"/>
      <c r="G184" s="284">
        <f t="shared" si="19"/>
        <v>0</v>
      </c>
      <c r="H184" s="411"/>
      <c r="I184" s="112"/>
      <c r="J184" s="38"/>
      <c r="K184" s="38"/>
      <c r="L184" s="38"/>
      <c r="M184" s="38"/>
      <c r="N184" s="38"/>
      <c r="O184" s="88"/>
    </row>
    <row r="185" spans="1:15" ht="45" customHeight="1" thickBot="1">
      <c r="A185" s="1893"/>
      <c r="B185" s="1900"/>
      <c r="C185" s="113" t="s">
        <v>13</v>
      </c>
      <c r="D185" s="139">
        <f>SUM(D178:D184)</f>
        <v>0</v>
      </c>
      <c r="E185" s="116">
        <f>SUM(E178:E184)</f>
        <v>0</v>
      </c>
      <c r="F185" s="116">
        <f>SUM(F178:F184)</f>
        <v>0</v>
      </c>
      <c r="G185" s="220">
        <f t="shared" ref="G185:O185" si="20">SUM(G178:G184)</f>
        <v>0</v>
      </c>
      <c r="H185" s="285">
        <f t="shared" si="20"/>
        <v>0</v>
      </c>
      <c r="I185" s="115">
        <f t="shared" si="20"/>
        <v>0</v>
      </c>
      <c r="J185" s="116">
        <f t="shared" si="20"/>
        <v>0</v>
      </c>
      <c r="K185" s="116">
        <f t="shared" si="20"/>
        <v>0</v>
      </c>
      <c r="L185" s="116">
        <f t="shared" si="20"/>
        <v>0</v>
      </c>
      <c r="M185" s="116">
        <f t="shared" si="20"/>
        <v>0</v>
      </c>
      <c r="N185" s="116">
        <f t="shared" si="20"/>
        <v>0</v>
      </c>
      <c r="O185" s="117">
        <f t="shared" si="20"/>
        <v>0</v>
      </c>
    </row>
    <row r="186" spans="1:15" ht="33" customHeight="1" thickBot="1"/>
    <row r="187" spans="1:15" ht="19.5" customHeight="1">
      <c r="A187" s="2379" t="s">
        <v>137</v>
      </c>
      <c r="B187" s="2585" t="s">
        <v>182</v>
      </c>
      <c r="C187" s="1865" t="s">
        <v>9</v>
      </c>
      <c r="D187" s="1867" t="s">
        <v>138</v>
      </c>
      <c r="E187" s="2586"/>
      <c r="F187" s="2586"/>
      <c r="G187" s="2382"/>
      <c r="H187" s="2383"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1976"/>
      <c r="B189" s="1977"/>
      <c r="C189" s="290">
        <v>2014</v>
      </c>
      <c r="D189" s="133"/>
      <c r="E189" s="109"/>
      <c r="F189" s="109"/>
      <c r="G189" s="291">
        <f>SUM(D189:F189)</f>
        <v>0</v>
      </c>
      <c r="H189" s="108"/>
      <c r="I189" s="109"/>
      <c r="J189" s="109"/>
      <c r="K189" s="109"/>
      <c r="L189" s="134"/>
    </row>
    <row r="190" spans="1:15">
      <c r="A190" s="2502"/>
      <c r="B190" s="1855"/>
      <c r="C190" s="73">
        <v>2015</v>
      </c>
      <c r="D190" s="37"/>
      <c r="E190" s="38"/>
      <c r="F190" s="38"/>
      <c r="G190" s="291">
        <f>SUM(D190:F190)</f>
        <v>0</v>
      </c>
      <c r="H190" s="112"/>
      <c r="I190" s="38"/>
      <c r="J190" s="38"/>
      <c r="K190" s="38"/>
      <c r="L190" s="88"/>
    </row>
    <row r="191" spans="1:15">
      <c r="A191" s="2502"/>
      <c r="B191" s="1855"/>
      <c r="C191" s="73">
        <v>2016</v>
      </c>
      <c r="D191" s="37"/>
      <c r="E191" s="38"/>
      <c r="F191" s="38"/>
      <c r="G191" s="291">
        <f t="shared" ref="G191:G195" si="21">SUM(D191:F191)</f>
        <v>0</v>
      </c>
      <c r="H191" s="112"/>
      <c r="I191" s="38"/>
      <c r="J191" s="38"/>
      <c r="K191" s="38"/>
      <c r="L191" s="88"/>
    </row>
    <row r="192" spans="1:15">
      <c r="A192" s="2502"/>
      <c r="B192" s="1855"/>
      <c r="C192" s="73">
        <v>2017</v>
      </c>
      <c r="D192" s="37"/>
      <c r="E192" s="38"/>
      <c r="F192" s="38"/>
      <c r="G192" s="291">
        <f t="shared" si="21"/>
        <v>0</v>
      </c>
      <c r="H192" s="112"/>
      <c r="I192" s="38"/>
      <c r="J192" s="38"/>
      <c r="K192" s="38"/>
      <c r="L192" s="88"/>
    </row>
    <row r="193" spans="1:14">
      <c r="A193" s="2502"/>
      <c r="B193" s="1855"/>
      <c r="C193" s="73">
        <v>2018</v>
      </c>
      <c r="D193" s="37"/>
      <c r="E193" s="38"/>
      <c r="F193" s="38"/>
      <c r="G193" s="291">
        <f t="shared" si="21"/>
        <v>0</v>
      </c>
      <c r="H193" s="112"/>
      <c r="I193" s="38"/>
      <c r="J193" s="38"/>
      <c r="K193" s="38"/>
      <c r="L193" s="88"/>
    </row>
    <row r="194" spans="1:14">
      <c r="A194" s="2502"/>
      <c r="B194" s="1855"/>
      <c r="C194" s="73">
        <v>2019</v>
      </c>
      <c r="D194" s="37"/>
      <c r="E194" s="38"/>
      <c r="F194" s="38"/>
      <c r="G194" s="291">
        <f t="shared" si="21"/>
        <v>0</v>
      </c>
      <c r="H194" s="112"/>
      <c r="I194" s="38"/>
      <c r="J194" s="38"/>
      <c r="K194" s="38"/>
      <c r="L194" s="88"/>
    </row>
    <row r="195" spans="1:14">
      <c r="A195" s="2502"/>
      <c r="B195" s="1855"/>
      <c r="C195" s="73">
        <v>2020</v>
      </c>
      <c r="D195" s="37"/>
      <c r="E195" s="38"/>
      <c r="F195" s="38"/>
      <c r="G195" s="291">
        <f t="shared" si="21"/>
        <v>0</v>
      </c>
      <c r="H195" s="112"/>
      <c r="I195" s="38"/>
      <c r="J195" s="38"/>
      <c r="K195" s="38"/>
      <c r="L195" s="88"/>
    </row>
    <row r="196" spans="1:14" ht="15.75" thickBot="1">
      <c r="A196" s="1979"/>
      <c r="B196" s="1857"/>
      <c r="C196" s="136" t="s">
        <v>13</v>
      </c>
      <c r="D196" s="139">
        <f t="shared" ref="D196:L196" si="22">SUM(D189:D195)</f>
        <v>0</v>
      </c>
      <c r="E196" s="116">
        <f t="shared" si="22"/>
        <v>0</v>
      </c>
      <c r="F196" s="116">
        <f t="shared" si="22"/>
        <v>0</v>
      </c>
      <c r="G196" s="292">
        <f t="shared" si="22"/>
        <v>0</v>
      </c>
      <c r="H196" s="115">
        <f t="shared" si="22"/>
        <v>0</v>
      </c>
      <c r="I196" s="116">
        <f t="shared" si="22"/>
        <v>0</v>
      </c>
      <c r="J196" s="116"/>
      <c r="K196" s="116">
        <f t="shared" si="22"/>
        <v>0</v>
      </c>
      <c r="L196" s="117">
        <f t="shared" si="22"/>
        <v>0</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1773" t="s">
        <v>150</v>
      </c>
      <c r="B201" s="417" t="s">
        <v>182</v>
      </c>
      <c r="C201" s="298" t="s">
        <v>9</v>
      </c>
      <c r="D201" s="1764" t="s">
        <v>151</v>
      </c>
      <c r="E201" s="300" t="s">
        <v>152</v>
      </c>
      <c r="F201" s="300" t="s">
        <v>153</v>
      </c>
      <c r="G201" s="298" t="s">
        <v>154</v>
      </c>
      <c r="H201" s="1688" t="s">
        <v>155</v>
      </c>
      <c r="I201" s="1765" t="s">
        <v>156</v>
      </c>
      <c r="J201" s="1766" t="s">
        <v>157</v>
      </c>
      <c r="K201" s="300" t="s">
        <v>158</v>
      </c>
      <c r="L201" s="304" t="s">
        <v>159</v>
      </c>
    </row>
    <row r="202" spans="1:14" ht="15" customHeight="1">
      <c r="A202" s="2378"/>
      <c r="B202" s="1855"/>
      <c r="C202" s="72">
        <v>2014</v>
      </c>
      <c r="D202" s="30"/>
      <c r="E202" s="31"/>
      <c r="F202" s="31"/>
      <c r="G202" s="29"/>
      <c r="H202" s="305"/>
      <c r="I202" s="306"/>
      <c r="J202" s="307"/>
      <c r="K202" s="31"/>
      <c r="L202" s="34"/>
    </row>
    <row r="203" spans="1:14">
      <c r="A203" s="2378"/>
      <c r="B203" s="1855"/>
      <c r="C203" s="73">
        <v>2015</v>
      </c>
      <c r="D203" s="37"/>
      <c r="E203" s="38"/>
      <c r="F203" s="38"/>
      <c r="G203" s="36"/>
      <c r="H203" s="308"/>
      <c r="I203" s="309"/>
      <c r="J203" s="310"/>
      <c r="K203" s="38"/>
      <c r="L203" s="88"/>
    </row>
    <row r="204" spans="1:14">
      <c r="A204" s="2378"/>
      <c r="B204" s="1855"/>
      <c r="C204" s="73">
        <v>2016</v>
      </c>
      <c r="D204" s="37"/>
      <c r="E204" s="38"/>
      <c r="F204" s="38"/>
      <c r="G204" s="36"/>
      <c r="H204" s="308"/>
      <c r="I204" s="309"/>
      <c r="J204" s="310"/>
      <c r="K204" s="38"/>
      <c r="L204" s="88"/>
    </row>
    <row r="205" spans="1:14">
      <c r="A205" s="2378"/>
      <c r="B205" s="1855"/>
      <c r="C205" s="73">
        <v>2017</v>
      </c>
      <c r="D205" s="37"/>
      <c r="E205" s="38"/>
      <c r="F205" s="38"/>
      <c r="G205" s="36"/>
      <c r="H205" s="308"/>
      <c r="I205" s="309"/>
      <c r="J205" s="310"/>
      <c r="K205" s="38"/>
      <c r="L205" s="88"/>
    </row>
    <row r="206" spans="1:14">
      <c r="A206" s="2378"/>
      <c r="B206" s="1855"/>
      <c r="C206" s="73">
        <v>2018</v>
      </c>
      <c r="D206" s="37"/>
      <c r="E206" s="38"/>
      <c r="F206" s="38"/>
      <c r="G206" s="36"/>
      <c r="H206" s="308"/>
      <c r="I206" s="309"/>
      <c r="J206" s="310"/>
      <c r="K206" s="38"/>
      <c r="L206" s="88"/>
    </row>
    <row r="207" spans="1:14">
      <c r="A207" s="2378"/>
      <c r="B207" s="1855"/>
      <c r="C207" s="73">
        <v>2019</v>
      </c>
      <c r="D207" s="37"/>
      <c r="E207" s="38"/>
      <c r="F207" s="38"/>
      <c r="G207" s="36"/>
      <c r="H207" s="308"/>
      <c r="I207" s="309"/>
      <c r="J207" s="310"/>
      <c r="K207" s="38"/>
      <c r="L207" s="88"/>
    </row>
    <row r="208" spans="1:14">
      <c r="A208" s="2378"/>
      <c r="B208" s="1855"/>
      <c r="C208" s="73">
        <v>2020</v>
      </c>
      <c r="D208" s="1743"/>
      <c r="E208" s="312"/>
      <c r="F208" s="312"/>
      <c r="G208" s="313"/>
      <c r="H208" s="314"/>
      <c r="I208" s="315"/>
      <c r="J208" s="316"/>
      <c r="K208" s="312"/>
      <c r="L208" s="317"/>
    </row>
    <row r="209" spans="1:12" ht="20.25" customHeight="1" thickBot="1">
      <c r="A209" s="1856"/>
      <c r="B209" s="1857"/>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0</v>
      </c>
      <c r="K209" s="139">
        <f t="shared" si="23"/>
        <v>0</v>
      </c>
      <c r="L209" s="139">
        <f t="shared" si="23"/>
        <v>0</v>
      </c>
    </row>
    <row r="211" spans="1:12" ht="15.75" thickBot="1"/>
    <row r="212" spans="1:12" ht="29.25">
      <c r="A212" s="1774" t="s">
        <v>161</v>
      </c>
      <c r="B212" s="322" t="s">
        <v>162</v>
      </c>
      <c r="C212" s="323">
        <v>2014</v>
      </c>
      <c r="D212" s="324">
        <v>2015</v>
      </c>
      <c r="E212" s="324">
        <v>2016</v>
      </c>
      <c r="F212" s="324">
        <v>2017</v>
      </c>
      <c r="G212" s="324">
        <v>2018</v>
      </c>
      <c r="H212" s="324">
        <v>2019</v>
      </c>
      <c r="I212" s="325">
        <v>2020</v>
      </c>
    </row>
    <row r="213" spans="1:12" ht="15" customHeight="1">
      <c r="A213" t="s">
        <v>163</v>
      </c>
      <c r="B213" s="2430" t="s">
        <v>582</v>
      </c>
      <c r="C213" s="72"/>
      <c r="D213" s="135">
        <v>9038.73</v>
      </c>
      <c r="E213" s="328">
        <f>SUM(E214:E217)</f>
        <v>278612.58</v>
      </c>
      <c r="F213" s="135">
        <v>108765.47</v>
      </c>
      <c r="G213" s="135"/>
      <c r="H213" s="135"/>
      <c r="I213" s="326"/>
      <c r="J213" s="327"/>
    </row>
    <row r="214" spans="1:12">
      <c r="A214" t="s">
        <v>164</v>
      </c>
      <c r="B214" s="1974"/>
      <c r="C214" s="72"/>
      <c r="D214" s="135">
        <v>9038.73</v>
      </c>
      <c r="E214" s="328">
        <v>278612.58</v>
      </c>
      <c r="F214" s="135">
        <v>108765.47</v>
      </c>
      <c r="G214" s="135"/>
      <c r="H214" s="135"/>
      <c r="I214" s="326"/>
    </row>
    <row r="215" spans="1:12">
      <c r="A215" t="s">
        <v>165</v>
      </c>
      <c r="B215" s="1974"/>
      <c r="C215" s="72"/>
      <c r="D215" s="135"/>
      <c r="E215" s="135"/>
      <c r="F215" s="135"/>
      <c r="G215" s="135"/>
      <c r="H215" s="135"/>
      <c r="I215" s="326"/>
      <c r="J215" s="327"/>
    </row>
    <row r="216" spans="1:12">
      <c r="A216" t="s">
        <v>166</v>
      </c>
      <c r="B216" s="1974"/>
      <c r="C216" s="72"/>
      <c r="D216" s="135"/>
      <c r="E216" s="135"/>
      <c r="F216" s="135"/>
      <c r="G216" s="135"/>
      <c r="H216" s="135"/>
      <c r="I216" s="326"/>
    </row>
    <row r="217" spans="1:12">
      <c r="A217" t="s">
        <v>167</v>
      </c>
      <c r="B217" s="1974"/>
      <c r="C217" s="72"/>
      <c r="D217" s="135"/>
      <c r="E217" s="135"/>
      <c r="F217" s="135"/>
      <c r="G217" s="135"/>
      <c r="H217" s="135"/>
      <c r="I217" s="326"/>
    </row>
    <row r="218" spans="1:12" ht="30">
      <c r="A218" s="56" t="s">
        <v>168</v>
      </c>
      <c r="B218" s="1974"/>
      <c r="C218" s="72"/>
      <c r="D218" s="1775">
        <v>100000</v>
      </c>
      <c r="E218" s="1776">
        <v>89706.14</v>
      </c>
      <c r="F218" s="135">
        <v>89844.62</v>
      </c>
      <c r="G218" s="135"/>
      <c r="H218" s="135"/>
      <c r="I218" s="326"/>
    </row>
    <row r="219" spans="1:12" ht="15.75" thickBot="1">
      <c r="A219" s="1742"/>
      <c r="B219" s="1975"/>
      <c r="C219" s="42" t="s">
        <v>13</v>
      </c>
      <c r="D219" s="332">
        <f>D218+D213</f>
        <v>109038.73</v>
      </c>
      <c r="E219" s="333">
        <f t="shared" ref="E219:I219" si="24">SUM(E214:E218)</f>
        <v>368318.72000000003</v>
      </c>
      <c r="F219" s="333">
        <f t="shared" si="24"/>
        <v>198610.09</v>
      </c>
      <c r="G219" s="333">
        <f t="shared" si="24"/>
        <v>0</v>
      </c>
      <c r="H219" s="333">
        <f t="shared" si="24"/>
        <v>0</v>
      </c>
      <c r="I219" s="333">
        <f t="shared" si="24"/>
        <v>0</v>
      </c>
    </row>
    <row r="222" spans="1:12">
      <c r="D222" s="327">
        <f>D219+E219+F219</f>
        <v>675967.54</v>
      </c>
    </row>
    <row r="227" spans="1:1">
      <c r="A227" s="56"/>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27"/>
  <sheetViews>
    <sheetView topLeftCell="A13" workbookViewId="0">
      <selection activeCell="D219" sqref="D219:F219"/>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19" width="13.7109375" customWidth="1"/>
    <col min="20" max="20" width="20.7109375" customWidth="1"/>
    <col min="21" max="25" width="13.7109375" customWidth="1"/>
  </cols>
  <sheetData>
    <row r="1" spans="1:25" s="1" customFormat="1" ht="31.5">
      <c r="A1" s="334" t="s">
        <v>0</v>
      </c>
      <c r="B1" s="1943" t="s">
        <v>536</v>
      </c>
      <c r="C1" s="1944"/>
      <c r="D1" s="1944"/>
      <c r="E1" s="1944"/>
      <c r="F1" s="1944"/>
      <c r="G1" s="2433"/>
      <c r="H1" s="2433"/>
      <c r="I1" s="2433"/>
      <c r="J1" s="2433"/>
    </row>
    <row r="2" spans="1:25" s="1" customFormat="1" ht="20.100000000000001" customHeight="1" thickBot="1"/>
    <row r="3" spans="1:25" s="4" customFormat="1" ht="20.100000000000001" customHeight="1">
      <c r="A3" s="1536" t="s">
        <v>2</v>
      </c>
      <c r="B3" s="1585"/>
      <c r="C3" s="1585"/>
      <c r="D3" s="1585"/>
      <c r="E3" s="1585"/>
      <c r="F3" s="2418"/>
      <c r="G3" s="2418"/>
      <c r="H3" s="2418"/>
      <c r="I3" s="2418"/>
      <c r="J3" s="2418"/>
      <c r="K3" s="2418"/>
      <c r="L3" s="2418"/>
      <c r="M3" s="2418"/>
      <c r="N3" s="2418"/>
      <c r="O3" s="2522"/>
    </row>
    <row r="4" spans="1:25" s="4" customFormat="1" ht="20.100000000000001" customHeight="1">
      <c r="A4" s="2420" t="s">
        <v>170</v>
      </c>
      <c r="B4" s="1948"/>
      <c r="C4" s="1948"/>
      <c r="D4" s="1948"/>
      <c r="E4" s="1948"/>
      <c r="F4" s="1948"/>
      <c r="G4" s="1948"/>
      <c r="H4" s="1948"/>
      <c r="I4" s="1948"/>
      <c r="J4" s="1948"/>
      <c r="K4" s="1948"/>
      <c r="L4" s="1948"/>
      <c r="M4" s="1948"/>
      <c r="N4" s="1948"/>
      <c r="O4" s="1949"/>
    </row>
    <row r="5" spans="1:25" s="4" customFormat="1" ht="20.100000000000001" customHeight="1">
      <c r="A5" s="2420"/>
      <c r="B5" s="1948"/>
      <c r="C5" s="1948"/>
      <c r="D5" s="1948"/>
      <c r="E5" s="1948"/>
      <c r="F5" s="1948"/>
      <c r="G5" s="1948"/>
      <c r="H5" s="1948"/>
      <c r="I5" s="1948"/>
      <c r="J5" s="1948"/>
      <c r="K5" s="1948"/>
      <c r="L5" s="1948"/>
      <c r="M5" s="1948"/>
      <c r="N5" s="1948"/>
      <c r="O5" s="1949"/>
    </row>
    <row r="6" spans="1:25" s="4" customFormat="1" ht="20.100000000000001" customHeight="1">
      <c r="A6" s="2420"/>
      <c r="B6" s="1948"/>
      <c r="C6" s="1948"/>
      <c r="D6" s="1948"/>
      <c r="E6" s="1948"/>
      <c r="F6" s="1948"/>
      <c r="G6" s="1948"/>
      <c r="H6" s="1948"/>
      <c r="I6" s="1948"/>
      <c r="J6" s="1948"/>
      <c r="K6" s="1948"/>
      <c r="L6" s="1948"/>
      <c r="M6" s="1948"/>
      <c r="N6" s="1948"/>
      <c r="O6" s="1949"/>
    </row>
    <row r="7" spans="1:25" s="4" customFormat="1" ht="20.100000000000001" customHeight="1">
      <c r="A7" s="2420"/>
      <c r="B7" s="1948"/>
      <c r="C7" s="1948"/>
      <c r="D7" s="1948"/>
      <c r="E7" s="1948"/>
      <c r="F7" s="1948"/>
      <c r="G7" s="1948"/>
      <c r="H7" s="1948"/>
      <c r="I7" s="1948"/>
      <c r="J7" s="1948"/>
      <c r="K7" s="1948"/>
      <c r="L7" s="1948"/>
      <c r="M7" s="1948"/>
      <c r="N7" s="1948"/>
      <c r="O7" s="1949"/>
    </row>
    <row r="8" spans="1:25" s="4" customFormat="1" ht="20.100000000000001" customHeight="1">
      <c r="A8" s="2420"/>
      <c r="B8" s="1948"/>
      <c r="C8" s="1948"/>
      <c r="D8" s="1948"/>
      <c r="E8" s="1948"/>
      <c r="F8" s="1948"/>
      <c r="G8" s="1948"/>
      <c r="H8" s="1948"/>
      <c r="I8" s="1948"/>
      <c r="J8" s="1948"/>
      <c r="K8" s="1948"/>
      <c r="L8" s="1948"/>
      <c r="M8" s="1948"/>
      <c r="N8" s="1948"/>
      <c r="O8" s="1949"/>
    </row>
    <row r="9" spans="1:25" s="4" customFormat="1" ht="20.100000000000001" customHeight="1">
      <c r="A9" s="2420"/>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515"/>
      <c r="B15" s="516"/>
      <c r="C15" s="10"/>
      <c r="D15" s="1953" t="s">
        <v>5</v>
      </c>
      <c r="E15" s="2012"/>
      <c r="F15" s="2012"/>
      <c r="G15" s="2012"/>
      <c r="H15" s="11"/>
      <c r="I15" s="12" t="s">
        <v>6</v>
      </c>
      <c r="J15" s="13"/>
      <c r="K15" s="13"/>
      <c r="L15" s="13"/>
      <c r="M15" s="13"/>
      <c r="N15" s="13"/>
      <c r="O15" s="14"/>
      <c r="P15" s="15"/>
      <c r="Q15" s="16"/>
      <c r="R15" s="17"/>
      <c r="S15" s="17"/>
      <c r="T15" s="17"/>
      <c r="U15" s="17"/>
      <c r="V15" s="17"/>
      <c r="W15" s="15"/>
      <c r="X15" s="15"/>
      <c r="Y15" s="16"/>
    </row>
    <row r="16" spans="1:25" s="56" customFormat="1" ht="129" customHeight="1">
      <c r="A16" s="1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2685">
        <v>38</v>
      </c>
      <c r="B17" s="2689"/>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2685"/>
      <c r="B18" s="2689"/>
      <c r="C18" s="36">
        <v>2015</v>
      </c>
      <c r="D18" s="37">
        <v>1</v>
      </c>
      <c r="E18" s="38"/>
      <c r="F18" s="38"/>
      <c r="G18" s="32">
        <f>SUM(D18:F18)</f>
        <v>1</v>
      </c>
      <c r="H18" s="39">
        <v>1</v>
      </c>
      <c r="I18" s="38"/>
      <c r="J18" s="38"/>
      <c r="K18" s="38"/>
      <c r="L18" s="38"/>
      <c r="M18" s="38"/>
      <c r="N18" s="38"/>
      <c r="O18" s="40"/>
      <c r="P18" s="35"/>
      <c r="Q18" s="35"/>
      <c r="R18" s="35"/>
      <c r="S18" s="35"/>
      <c r="T18" s="35"/>
      <c r="U18" s="35"/>
      <c r="V18" s="35"/>
      <c r="W18" s="35"/>
      <c r="X18" s="35"/>
      <c r="Y18" s="35"/>
    </row>
    <row r="19" spans="1:25">
      <c r="A19" s="2685"/>
      <c r="B19" s="2689"/>
      <c r="C19" s="36">
        <v>2016</v>
      </c>
      <c r="D19" s="37">
        <v>32</v>
      </c>
      <c r="E19" s="38"/>
      <c r="F19" s="38"/>
      <c r="G19" s="32">
        <f t="shared" si="0"/>
        <v>32</v>
      </c>
      <c r="H19" s="39">
        <v>32</v>
      </c>
      <c r="I19" s="38"/>
      <c r="J19" s="38"/>
      <c r="K19" s="38"/>
      <c r="L19" s="38"/>
      <c r="M19" s="38"/>
      <c r="N19" s="38"/>
      <c r="O19" s="40"/>
      <c r="P19" s="35"/>
      <c r="Q19" s="35"/>
      <c r="R19" s="35"/>
      <c r="S19" s="35"/>
      <c r="T19" s="35"/>
      <c r="U19" s="35"/>
      <c r="V19" s="35"/>
      <c r="W19" s="35"/>
      <c r="X19" s="35"/>
      <c r="Y19" s="35"/>
    </row>
    <row r="20" spans="1:25">
      <c r="A20" s="2685"/>
      <c r="B20" s="2689"/>
      <c r="C20" s="36">
        <v>2017</v>
      </c>
      <c r="D20" s="37">
        <v>5</v>
      </c>
      <c r="E20" s="38"/>
      <c r="F20" s="38"/>
      <c r="G20" s="32">
        <f t="shared" si="0"/>
        <v>5</v>
      </c>
      <c r="H20" s="39">
        <v>5</v>
      </c>
      <c r="I20" s="38"/>
      <c r="J20" s="38"/>
      <c r="K20" s="38"/>
      <c r="L20" s="38"/>
      <c r="M20" s="38"/>
      <c r="N20" s="38"/>
      <c r="O20" s="40"/>
      <c r="P20" s="35"/>
      <c r="Q20" s="35"/>
      <c r="R20" s="35"/>
      <c r="S20" s="35"/>
      <c r="T20" s="35"/>
      <c r="U20" s="35"/>
      <c r="V20" s="35"/>
      <c r="W20" s="35"/>
      <c r="X20" s="35"/>
      <c r="Y20" s="35"/>
    </row>
    <row r="21" spans="1:25">
      <c r="A21" s="2685"/>
      <c r="B21" s="2689"/>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2685"/>
      <c r="B22" s="2689"/>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2685"/>
      <c r="B23" s="2689"/>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19.5" customHeight="1" thickBot="1">
      <c r="A24" s="2690"/>
      <c r="B24" s="2691"/>
      <c r="C24" s="42" t="s">
        <v>13</v>
      </c>
      <c r="D24" s="43">
        <f>SUM(D17:D23)</f>
        <v>38</v>
      </c>
      <c r="E24" s="44">
        <f>SUM(E17:E23)</f>
        <v>0</v>
      </c>
      <c r="F24" s="44">
        <f>SUM(F17:F23)</f>
        <v>0</v>
      </c>
      <c r="G24" s="45">
        <f>SUM(D24:F24)</f>
        <v>38</v>
      </c>
      <c r="H24" s="46">
        <f>SUM(H17:H23)</f>
        <v>38</v>
      </c>
      <c r="I24" s="47">
        <f>SUM(I17:I23)</f>
        <v>0</v>
      </c>
      <c r="J24" s="47">
        <f t="shared" ref="J24:N24" si="1">SUM(J17:J23)</f>
        <v>0</v>
      </c>
      <c r="K24" s="47">
        <f t="shared" si="1"/>
        <v>0</v>
      </c>
      <c r="L24" s="47">
        <f t="shared" si="1"/>
        <v>0</v>
      </c>
      <c r="M24" s="47">
        <f t="shared" si="1"/>
        <v>0</v>
      </c>
      <c r="N24" s="47">
        <f t="shared" si="1"/>
        <v>0</v>
      </c>
      <c r="O24" s="48">
        <f>SUM(O17:O23)</f>
        <v>0</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515"/>
      <c r="B26" s="516"/>
      <c r="C26" s="50"/>
      <c r="D26" s="1959" t="s">
        <v>5</v>
      </c>
      <c r="E26" s="2071"/>
      <c r="F26" s="2071"/>
      <c r="G26" s="2072"/>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2685">
        <v>1600</v>
      </c>
      <c r="B28" s="1881" t="s">
        <v>537</v>
      </c>
      <c r="C28" s="57">
        <v>2014</v>
      </c>
      <c r="D28" s="33"/>
      <c r="E28" s="31"/>
      <c r="F28" s="31"/>
      <c r="G28" s="58">
        <f>SUM(D28:F28)</f>
        <v>0</v>
      </c>
      <c r="H28" s="35"/>
      <c r="I28" s="35"/>
      <c r="J28" s="35"/>
      <c r="K28" s="35"/>
      <c r="L28" s="35"/>
      <c r="M28" s="35"/>
      <c r="N28" s="35"/>
      <c r="O28" s="35"/>
      <c r="P28" s="35"/>
      <c r="Q28" s="7"/>
    </row>
    <row r="29" spans="1:25">
      <c r="A29" s="2686"/>
      <c r="B29" s="1881"/>
      <c r="C29" s="59">
        <v>2015</v>
      </c>
      <c r="D29" s="39">
        <v>70</v>
      </c>
      <c r="E29" s="38"/>
      <c r="F29" s="38"/>
      <c r="G29" s="58">
        <f t="shared" ref="G29:G35" si="2">SUM(D29:F29)</f>
        <v>70</v>
      </c>
      <c r="H29" s="35"/>
      <c r="I29" s="35"/>
      <c r="J29" s="35"/>
      <c r="K29" s="35"/>
      <c r="L29" s="35"/>
      <c r="M29" s="35"/>
      <c r="N29" s="35"/>
      <c r="O29" s="35"/>
      <c r="P29" s="35"/>
      <c r="Q29" s="7"/>
    </row>
    <row r="30" spans="1:25">
      <c r="A30" s="2686"/>
      <c r="B30" s="1881"/>
      <c r="C30" s="59">
        <v>2016</v>
      </c>
      <c r="D30" s="39">
        <v>1080</v>
      </c>
      <c r="E30" s="38"/>
      <c r="F30" s="38"/>
      <c r="G30" s="58">
        <f t="shared" si="2"/>
        <v>1080</v>
      </c>
      <c r="H30" s="35"/>
      <c r="I30" s="35"/>
      <c r="J30" s="35"/>
      <c r="K30" s="35"/>
      <c r="L30" s="35"/>
      <c r="M30" s="35"/>
      <c r="N30" s="35"/>
      <c r="O30" s="35"/>
      <c r="P30" s="35"/>
      <c r="Q30" s="7"/>
    </row>
    <row r="31" spans="1:25">
      <c r="A31" s="2686"/>
      <c r="B31" s="1881"/>
      <c r="C31" s="59">
        <v>2017</v>
      </c>
      <c r="D31" s="39">
        <v>450</v>
      </c>
      <c r="E31" s="38"/>
      <c r="F31" s="38"/>
      <c r="G31" s="58">
        <f t="shared" si="2"/>
        <v>450</v>
      </c>
      <c r="H31" s="35"/>
      <c r="I31" s="35"/>
      <c r="J31" s="35"/>
      <c r="K31" s="35"/>
      <c r="L31" s="35"/>
      <c r="M31" s="35"/>
      <c r="N31" s="35"/>
      <c r="O31" s="35"/>
      <c r="P31" s="35"/>
      <c r="Q31" s="7"/>
    </row>
    <row r="32" spans="1:25">
      <c r="A32" s="2686"/>
      <c r="B32" s="1881"/>
      <c r="C32" s="59">
        <v>2018</v>
      </c>
      <c r="D32" s="39"/>
      <c r="E32" s="38"/>
      <c r="F32" s="38"/>
      <c r="G32" s="58">
        <f>SUM(D32:F32)</f>
        <v>0</v>
      </c>
      <c r="H32" s="35"/>
      <c r="I32" s="35"/>
      <c r="J32" s="35"/>
      <c r="K32" s="35"/>
      <c r="L32" s="35"/>
      <c r="M32" s="35"/>
      <c r="N32" s="35"/>
      <c r="O32" s="35"/>
      <c r="P32" s="35"/>
      <c r="Q32" s="7"/>
    </row>
    <row r="33" spans="1:17">
      <c r="A33" s="2686"/>
      <c r="B33" s="1881"/>
      <c r="C33" s="60">
        <v>2019</v>
      </c>
      <c r="D33" s="39"/>
      <c r="E33" s="38"/>
      <c r="F33" s="38"/>
      <c r="G33" s="58">
        <f t="shared" si="2"/>
        <v>0</v>
      </c>
      <c r="H33" s="35"/>
      <c r="I33" s="35"/>
      <c r="J33" s="35"/>
      <c r="K33" s="35"/>
      <c r="L33" s="35"/>
      <c r="M33" s="35"/>
      <c r="N33" s="35"/>
      <c r="O33" s="35"/>
      <c r="P33" s="35"/>
      <c r="Q33" s="7"/>
    </row>
    <row r="34" spans="1:17">
      <c r="A34" s="2686"/>
      <c r="B34" s="1881"/>
      <c r="C34" s="59">
        <v>2020</v>
      </c>
      <c r="D34" s="39"/>
      <c r="E34" s="38"/>
      <c r="F34" s="38"/>
      <c r="G34" s="58">
        <f t="shared" si="2"/>
        <v>0</v>
      </c>
      <c r="H34" s="35"/>
      <c r="I34" s="35"/>
      <c r="J34" s="35"/>
      <c r="K34" s="35"/>
      <c r="L34" s="35"/>
      <c r="M34" s="35"/>
      <c r="N34" s="35"/>
      <c r="O34" s="35"/>
      <c r="P34" s="35"/>
      <c r="Q34" s="7"/>
    </row>
    <row r="35" spans="1:17" ht="126.75" customHeight="1" thickBot="1">
      <c r="A35" s="1980"/>
      <c r="B35" s="1883"/>
      <c r="C35" s="61" t="s">
        <v>13</v>
      </c>
      <c r="D35" s="46">
        <f>SUM(D28:D34)</f>
        <v>1600</v>
      </c>
      <c r="E35" s="44">
        <f>SUM(E28:E34)</f>
        <v>0</v>
      </c>
      <c r="F35" s="44">
        <f>SUM(F28:F34)</f>
        <v>0</v>
      </c>
      <c r="G35" s="48">
        <f t="shared" si="2"/>
        <v>1600</v>
      </c>
      <c r="H35" s="35"/>
      <c r="I35" s="35"/>
      <c r="J35" s="35"/>
      <c r="K35" s="35"/>
      <c r="L35" s="35"/>
      <c r="M35" s="35"/>
      <c r="N35" s="35"/>
      <c r="O35" s="35"/>
      <c r="P35" s="35"/>
      <c r="Q35" s="7"/>
    </row>
    <row r="36" spans="1:17">
      <c r="A36" s="1535"/>
      <c r="B36" s="1535"/>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535" t="s">
        <v>26</v>
      </c>
      <c r="B39" s="536" t="s">
        <v>171</v>
      </c>
      <c r="C39" s="68" t="s">
        <v>9</v>
      </c>
      <c r="D39" s="69" t="s">
        <v>28</v>
      </c>
      <c r="E39" s="70" t="s">
        <v>29</v>
      </c>
      <c r="F39" s="71"/>
      <c r="G39" s="28"/>
      <c r="H39" s="28"/>
    </row>
    <row r="40" spans="1:17">
      <c r="A40" s="1874"/>
      <c r="B40" s="1855" t="s">
        <v>538</v>
      </c>
      <c r="C40" s="72">
        <v>2014</v>
      </c>
      <c r="D40" s="30"/>
      <c r="E40" s="29"/>
      <c r="F40" s="7"/>
      <c r="G40" s="35"/>
      <c r="H40" s="35"/>
    </row>
    <row r="41" spans="1:17">
      <c r="A41" s="2687"/>
      <c r="B41" s="1855"/>
      <c r="C41" s="73">
        <v>2015</v>
      </c>
      <c r="D41" s="37"/>
      <c r="E41" s="36"/>
      <c r="F41" s="7"/>
      <c r="G41" s="35"/>
      <c r="H41" s="35"/>
    </row>
    <row r="42" spans="1:17">
      <c r="A42" s="2687"/>
      <c r="B42" s="1855"/>
      <c r="C42" s="73">
        <v>2016</v>
      </c>
      <c r="D42" s="37"/>
      <c r="E42" s="36"/>
      <c r="F42" s="7"/>
      <c r="G42" s="35"/>
      <c r="H42" s="35"/>
    </row>
    <row r="43" spans="1:17">
      <c r="A43" s="2687"/>
      <c r="B43" s="1855"/>
      <c r="C43" s="73">
        <v>2017</v>
      </c>
      <c r="D43" s="37"/>
      <c r="E43" s="36"/>
      <c r="F43" s="7"/>
      <c r="G43" s="35"/>
      <c r="H43" s="35"/>
    </row>
    <row r="44" spans="1:17">
      <c r="A44" s="2687"/>
      <c r="B44" s="1855"/>
      <c r="C44" s="73">
        <v>2018</v>
      </c>
      <c r="D44" s="37"/>
      <c r="E44" s="36"/>
      <c r="F44" s="7"/>
      <c r="G44" s="35"/>
      <c r="H44" s="35"/>
    </row>
    <row r="45" spans="1:17">
      <c r="A45" s="2687"/>
      <c r="B45" s="1855"/>
      <c r="C45" s="73">
        <v>2019</v>
      </c>
      <c r="D45" s="37"/>
      <c r="E45" s="36"/>
      <c r="F45" s="7"/>
      <c r="G45" s="35"/>
      <c r="H45" s="35"/>
    </row>
    <row r="46" spans="1:17">
      <c r="A46" s="2687"/>
      <c r="B46" s="1855"/>
      <c r="C46" s="73">
        <v>2020</v>
      </c>
      <c r="D46" s="37"/>
      <c r="E46" s="36"/>
      <c r="F46" s="7"/>
      <c r="G46" s="35"/>
      <c r="H46" s="35"/>
    </row>
    <row r="47" spans="1:17" ht="15.75" thickBot="1">
      <c r="A47" s="2688"/>
      <c r="B47" s="1857"/>
      <c r="C47" s="42" t="s">
        <v>13</v>
      </c>
      <c r="D47" s="43">
        <f>SUM(D40:D46)</f>
        <v>0</v>
      </c>
      <c r="E47" s="455">
        <f>SUM(E40:E46)</f>
        <v>0</v>
      </c>
      <c r="F47" s="78"/>
      <c r="G47" s="35"/>
      <c r="H47" s="35"/>
    </row>
    <row r="48" spans="1:17" s="35" customFormat="1" ht="15.75" thickBot="1">
      <c r="A48" s="539"/>
      <c r="B48" s="80"/>
      <c r="C48" s="81"/>
    </row>
    <row r="49" spans="1:15" ht="83.25" customHeight="1">
      <c r="A49" s="82" t="s">
        <v>32</v>
      </c>
      <c r="B49" s="536" t="s">
        <v>171</v>
      </c>
      <c r="C49" s="84" t="s">
        <v>9</v>
      </c>
      <c r="D49" s="69" t="s">
        <v>34</v>
      </c>
      <c r="E49" s="85" t="s">
        <v>35</v>
      </c>
      <c r="F49" s="85" t="s">
        <v>36</v>
      </c>
      <c r="G49" s="85" t="s">
        <v>37</v>
      </c>
      <c r="H49" s="85" t="s">
        <v>38</v>
      </c>
      <c r="I49" s="85" t="s">
        <v>39</v>
      </c>
      <c r="J49" s="85" t="s">
        <v>40</v>
      </c>
      <c r="K49" s="86" t="s">
        <v>41</v>
      </c>
    </row>
    <row r="50" spans="1:15" ht="17.25" customHeight="1">
      <c r="A50" s="1872"/>
      <c r="B50" s="1879" t="s">
        <v>539</v>
      </c>
      <c r="C50" s="87" t="s">
        <v>43</v>
      </c>
      <c r="D50" s="30"/>
      <c r="E50" s="31"/>
      <c r="F50" s="31"/>
      <c r="G50" s="31"/>
      <c r="H50" s="31"/>
      <c r="I50" s="31"/>
      <c r="J50" s="31"/>
      <c r="K50" s="34"/>
    </row>
    <row r="51" spans="1:15" ht="15" customHeight="1">
      <c r="A51" s="2687"/>
      <c r="B51" s="1881"/>
      <c r="C51" s="73">
        <v>2014</v>
      </c>
      <c r="D51" s="37"/>
      <c r="E51" s="38"/>
      <c r="F51" s="38"/>
      <c r="G51" s="38"/>
      <c r="H51" s="38"/>
      <c r="I51" s="38"/>
      <c r="J51" s="38"/>
      <c r="K51" s="88"/>
    </row>
    <row r="52" spans="1:15">
      <c r="A52" s="2687"/>
      <c r="B52" s="1881"/>
      <c r="C52" s="73">
        <v>2015</v>
      </c>
      <c r="D52" s="37"/>
      <c r="E52" s="38"/>
      <c r="F52" s="38"/>
      <c r="G52" s="38"/>
      <c r="H52" s="38"/>
      <c r="I52" s="38"/>
      <c r="J52" s="38"/>
      <c r="K52" s="88"/>
    </row>
    <row r="53" spans="1:15">
      <c r="A53" s="2687"/>
      <c r="B53" s="1881"/>
      <c r="C53" s="73">
        <v>2016</v>
      </c>
      <c r="D53" s="37"/>
      <c r="E53" s="38"/>
      <c r="F53" s="38"/>
      <c r="G53" s="38"/>
      <c r="H53" s="38"/>
      <c r="I53" s="38"/>
      <c r="J53" s="38"/>
      <c r="K53" s="88"/>
    </row>
    <row r="54" spans="1:15">
      <c r="A54" s="2687"/>
      <c r="B54" s="1881"/>
      <c r="C54" s="73">
        <v>2017</v>
      </c>
      <c r="D54" s="37"/>
      <c r="E54" s="38"/>
      <c r="F54" s="38"/>
      <c r="G54" s="38"/>
      <c r="H54" s="38"/>
      <c r="I54" s="38"/>
      <c r="J54" s="38"/>
      <c r="K54" s="88"/>
    </row>
    <row r="55" spans="1:15">
      <c r="A55" s="2687"/>
      <c r="B55" s="1881"/>
      <c r="C55" s="73">
        <v>2018</v>
      </c>
      <c r="D55" s="37"/>
      <c r="E55" s="38"/>
      <c r="F55" s="38"/>
      <c r="G55" s="38"/>
      <c r="H55" s="38"/>
      <c r="I55" s="38"/>
      <c r="J55" s="38"/>
      <c r="K55" s="88"/>
    </row>
    <row r="56" spans="1:15">
      <c r="A56" s="2687"/>
      <c r="B56" s="1881"/>
      <c r="C56" s="73">
        <v>2019</v>
      </c>
      <c r="D56" s="37"/>
      <c r="E56" s="38"/>
      <c r="F56" s="38"/>
      <c r="G56" s="38"/>
      <c r="H56" s="38"/>
      <c r="I56" s="38"/>
      <c r="J56" s="38"/>
      <c r="K56" s="88"/>
    </row>
    <row r="57" spans="1:15">
      <c r="A57" s="2687"/>
      <c r="B57" s="1881"/>
      <c r="C57" s="73">
        <v>2020</v>
      </c>
      <c r="D57" s="37"/>
      <c r="E57" s="38"/>
      <c r="F57" s="38"/>
      <c r="G57" s="38"/>
      <c r="H57" s="38"/>
      <c r="I57" s="38"/>
      <c r="J57" s="38"/>
      <c r="K57" s="93"/>
    </row>
    <row r="58" spans="1:15" ht="20.25" customHeight="1" thickBot="1">
      <c r="A58" s="2688"/>
      <c r="B58" s="1883"/>
      <c r="C58" s="42" t="s">
        <v>13</v>
      </c>
      <c r="D58" s="43">
        <f>SUM(D51:D57)</f>
        <v>0</v>
      </c>
      <c r="E58" s="44">
        <f>SUM(E51:E57)</f>
        <v>0</v>
      </c>
      <c r="F58" s="44">
        <f>SUM(F51:F57)</f>
        <v>0</v>
      </c>
      <c r="G58" s="44">
        <f>SUM(G51:G57)</f>
        <v>0</v>
      </c>
      <c r="H58" s="44">
        <f>SUM(H51:H57)</f>
        <v>0</v>
      </c>
      <c r="I58" s="44">
        <f t="shared" ref="I58" si="3">SUM(I51:I57)</f>
        <v>0</v>
      </c>
      <c r="J58" s="44">
        <f>SUM(J51:J57)</f>
        <v>0</v>
      </c>
      <c r="K58" s="48">
        <f>SUM(K50:K56)</f>
        <v>0</v>
      </c>
    </row>
    <row r="59" spans="1:15" ht="15.75" thickBot="1"/>
    <row r="60" spans="1:15" ht="21" customHeight="1">
      <c r="A60" s="2073" t="s">
        <v>44</v>
      </c>
      <c r="B60" s="540"/>
      <c r="C60" s="2074" t="s">
        <v>9</v>
      </c>
      <c r="D60" s="2417" t="s">
        <v>45</v>
      </c>
      <c r="E60" s="96" t="s">
        <v>6</v>
      </c>
      <c r="F60" s="541"/>
      <c r="G60" s="541"/>
      <c r="H60" s="541"/>
      <c r="I60" s="541"/>
      <c r="J60" s="541"/>
      <c r="K60" s="541"/>
      <c r="L60" s="542"/>
    </row>
    <row r="61" spans="1:15" ht="115.5" customHeight="1">
      <c r="A61" s="1970"/>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2662">
        <v>10</v>
      </c>
      <c r="B62" s="1881" t="s">
        <v>540</v>
      </c>
      <c r="C62" s="106">
        <v>2014</v>
      </c>
      <c r="D62" s="107"/>
      <c r="E62" s="108"/>
      <c r="F62" s="109"/>
      <c r="G62" s="109"/>
      <c r="H62" s="109"/>
      <c r="I62" s="109"/>
      <c r="J62" s="109"/>
      <c r="K62" s="109"/>
      <c r="L62" s="34"/>
      <c r="M62" s="7"/>
      <c r="N62" s="7"/>
      <c r="O62" s="7"/>
    </row>
    <row r="63" spans="1:15">
      <c r="A63" s="2679"/>
      <c r="B63" s="1881"/>
      <c r="C63" s="110">
        <v>2015</v>
      </c>
      <c r="D63" s="111">
        <v>0</v>
      </c>
      <c r="E63" s="112">
        <v>0</v>
      </c>
      <c r="F63" s="38"/>
      <c r="G63" s="38"/>
      <c r="H63" s="38"/>
      <c r="I63" s="38"/>
      <c r="J63" s="38"/>
      <c r="K63" s="38"/>
      <c r="L63" s="88"/>
      <c r="M63" s="7"/>
      <c r="N63" s="7"/>
      <c r="O63" s="7"/>
    </row>
    <row r="64" spans="1:15">
      <c r="A64" s="2679"/>
      <c r="B64" s="1881"/>
      <c r="C64" s="110">
        <v>2016</v>
      </c>
      <c r="D64" s="111">
        <v>4</v>
      </c>
      <c r="E64" s="112">
        <v>4</v>
      </c>
      <c r="F64" s="38"/>
      <c r="G64" s="38"/>
      <c r="H64" s="38"/>
      <c r="I64" s="38"/>
      <c r="J64" s="38"/>
      <c r="K64" s="38"/>
      <c r="L64" s="88"/>
      <c r="M64" s="7"/>
      <c r="N64" s="7"/>
      <c r="O64" s="7"/>
    </row>
    <row r="65" spans="1:20">
      <c r="A65" s="2679"/>
      <c r="B65" s="1881"/>
      <c r="C65" s="110">
        <v>2017</v>
      </c>
      <c r="D65" s="111">
        <v>6</v>
      </c>
      <c r="E65" s="112">
        <v>6</v>
      </c>
      <c r="F65" s="38"/>
      <c r="G65" s="38"/>
      <c r="H65" s="38"/>
      <c r="I65" s="38"/>
      <c r="J65" s="38"/>
      <c r="K65" s="38"/>
      <c r="L65" s="88"/>
      <c r="M65" s="7"/>
      <c r="N65" s="7"/>
      <c r="O65" s="7"/>
    </row>
    <row r="66" spans="1:20">
      <c r="A66" s="2679"/>
      <c r="B66" s="1881"/>
      <c r="C66" s="110">
        <v>2018</v>
      </c>
      <c r="D66" s="111"/>
      <c r="E66" s="112"/>
      <c r="F66" s="38"/>
      <c r="G66" s="38"/>
      <c r="H66" s="38"/>
      <c r="I66" s="38"/>
      <c r="J66" s="38"/>
      <c r="K66" s="38"/>
      <c r="L66" s="88"/>
      <c r="M66" s="7"/>
      <c r="N66" s="7"/>
      <c r="O66" s="7"/>
    </row>
    <row r="67" spans="1:20" ht="17.25" customHeight="1">
      <c r="A67" s="2679"/>
      <c r="B67" s="1881"/>
      <c r="C67" s="110">
        <v>2019</v>
      </c>
      <c r="D67" s="111"/>
      <c r="E67" s="112"/>
      <c r="F67" s="38"/>
      <c r="G67" s="38"/>
      <c r="H67" s="38"/>
      <c r="I67" s="38"/>
      <c r="J67" s="38"/>
      <c r="K67" s="38"/>
      <c r="L67" s="88"/>
      <c r="M67" s="7"/>
      <c r="N67" s="7"/>
      <c r="O67" s="7"/>
    </row>
    <row r="68" spans="1:20" ht="16.5" customHeight="1">
      <c r="A68" s="2679"/>
      <c r="B68" s="1881"/>
      <c r="C68" s="110">
        <v>2020</v>
      </c>
      <c r="D68" s="111"/>
      <c r="E68" s="112"/>
      <c r="F68" s="38"/>
      <c r="G68" s="38"/>
      <c r="H68" s="38"/>
      <c r="I68" s="38"/>
      <c r="J68" s="38"/>
      <c r="K68" s="38"/>
      <c r="L68" s="88"/>
      <c r="M68" s="78"/>
      <c r="N68" s="78"/>
      <c r="O68" s="78"/>
    </row>
    <row r="69" spans="1:20" ht="18" customHeight="1" thickBot="1">
      <c r="A69" s="2664"/>
      <c r="B69" s="1883"/>
      <c r="C69" s="113" t="s">
        <v>13</v>
      </c>
      <c r="D69" s="114">
        <f>SUM(D62:D68)</f>
        <v>10</v>
      </c>
      <c r="E69" s="115">
        <f>SUM(E62:E68)</f>
        <v>10</v>
      </c>
      <c r="F69" s="116">
        <f t="shared" ref="F69:I69" si="4">SUM(F62:F68)</f>
        <v>0</v>
      </c>
      <c r="G69" s="116">
        <f t="shared" si="4"/>
        <v>0</v>
      </c>
      <c r="H69" s="116">
        <f t="shared" si="4"/>
        <v>0</v>
      </c>
      <c r="I69" s="116">
        <f t="shared" si="4"/>
        <v>0</v>
      </c>
      <c r="J69" s="116"/>
      <c r="K69" s="116">
        <f>SUM(K62:K68)</f>
        <v>0</v>
      </c>
      <c r="L69" s="117">
        <f>SUM(L62:L68)</f>
        <v>0</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535" t="s">
        <v>47</v>
      </c>
      <c r="B71" s="536"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2672">
        <v>0</v>
      </c>
      <c r="B72" s="2663"/>
      <c r="C72" s="72">
        <v>2014</v>
      </c>
      <c r="D72" s="131"/>
      <c r="E72" s="131"/>
      <c r="F72" s="131"/>
      <c r="G72" s="132">
        <f>SUM(D72:F72)</f>
        <v>0</v>
      </c>
      <c r="H72" s="30"/>
      <c r="I72" s="133"/>
      <c r="J72" s="109"/>
      <c r="K72" s="109"/>
      <c r="L72" s="109"/>
      <c r="M72" s="109"/>
      <c r="N72" s="109"/>
      <c r="O72" s="134"/>
    </row>
    <row r="73" spans="1:20">
      <c r="A73" s="2672"/>
      <c r="B73" s="2663"/>
      <c r="C73" s="73">
        <v>2015</v>
      </c>
      <c r="D73" s="135"/>
      <c r="E73" s="135"/>
      <c r="F73" s="135"/>
      <c r="G73" s="132">
        <f t="shared" ref="G73:G78" si="5">SUM(D73:F73)</f>
        <v>0</v>
      </c>
      <c r="H73" s="37"/>
      <c r="I73" s="37"/>
      <c r="J73" s="38"/>
      <c r="K73" s="38"/>
      <c r="L73" s="38"/>
      <c r="M73" s="38"/>
      <c r="N73" s="38"/>
      <c r="O73" s="88"/>
    </row>
    <row r="74" spans="1:20">
      <c r="A74" s="2672"/>
      <c r="B74" s="2663"/>
      <c r="C74" s="73">
        <v>2016</v>
      </c>
      <c r="D74" s="135"/>
      <c r="E74" s="135"/>
      <c r="F74" s="135"/>
      <c r="G74" s="132">
        <f t="shared" si="5"/>
        <v>0</v>
      </c>
      <c r="H74" s="37"/>
      <c r="I74" s="37"/>
      <c r="J74" s="38"/>
      <c r="K74" s="38"/>
      <c r="L74" s="38"/>
      <c r="M74" s="38"/>
      <c r="N74" s="38"/>
      <c r="O74" s="88"/>
    </row>
    <row r="75" spans="1:20">
      <c r="A75" s="2672"/>
      <c r="B75" s="2663"/>
      <c r="C75" s="73">
        <v>2017</v>
      </c>
      <c r="D75" s="135"/>
      <c r="E75" s="135"/>
      <c r="F75" s="135"/>
      <c r="G75" s="132">
        <f t="shared" si="5"/>
        <v>0</v>
      </c>
      <c r="H75" s="37"/>
      <c r="I75" s="37"/>
      <c r="J75" s="38"/>
      <c r="K75" s="38"/>
      <c r="L75" s="38"/>
      <c r="M75" s="38"/>
      <c r="N75" s="38"/>
      <c r="O75" s="88"/>
    </row>
    <row r="76" spans="1:20">
      <c r="A76" s="2672"/>
      <c r="B76" s="2663"/>
      <c r="C76" s="73">
        <v>2018</v>
      </c>
      <c r="D76" s="135"/>
      <c r="E76" s="135"/>
      <c r="F76" s="135"/>
      <c r="G76" s="132">
        <f t="shared" si="5"/>
        <v>0</v>
      </c>
      <c r="H76" s="37"/>
      <c r="I76" s="37"/>
      <c r="J76" s="38"/>
      <c r="K76" s="38"/>
      <c r="L76" s="38"/>
      <c r="M76" s="38"/>
      <c r="N76" s="38"/>
      <c r="O76" s="88"/>
    </row>
    <row r="77" spans="1:20" ht="15.75" customHeight="1">
      <c r="A77" s="2672"/>
      <c r="B77" s="2663"/>
      <c r="C77" s="73">
        <v>2019</v>
      </c>
      <c r="D77" s="135"/>
      <c r="E77" s="135"/>
      <c r="F77" s="135"/>
      <c r="G77" s="132">
        <f t="shared" si="5"/>
        <v>0</v>
      </c>
      <c r="H77" s="37"/>
      <c r="I77" s="37"/>
      <c r="J77" s="38"/>
      <c r="K77" s="38"/>
      <c r="L77" s="38"/>
      <c r="M77" s="38"/>
      <c r="N77" s="38"/>
      <c r="O77" s="88"/>
    </row>
    <row r="78" spans="1:20" ht="17.25" customHeight="1">
      <c r="A78" s="2672"/>
      <c r="B78" s="2663"/>
      <c r="C78" s="73">
        <v>2020</v>
      </c>
      <c r="D78" s="135"/>
      <c r="E78" s="135"/>
      <c r="F78" s="135"/>
      <c r="G78" s="132">
        <f t="shared" si="5"/>
        <v>0</v>
      </c>
      <c r="H78" s="37"/>
      <c r="I78" s="37"/>
      <c r="J78" s="38"/>
      <c r="K78" s="38"/>
      <c r="L78" s="38"/>
      <c r="M78" s="38"/>
      <c r="N78" s="38"/>
      <c r="O78" s="88"/>
    </row>
    <row r="79" spans="1:20" ht="20.25" customHeight="1" thickBot="1">
      <c r="A79" s="2664"/>
      <c r="B79" s="2665"/>
      <c r="C79" s="136" t="s">
        <v>13</v>
      </c>
      <c r="D79" s="114">
        <f>SUM(D72:D78)</f>
        <v>0</v>
      </c>
      <c r="E79" s="114">
        <f>SUM(E72:E78)</f>
        <v>0</v>
      </c>
      <c r="F79" s="114">
        <f>SUM(F72:F78)</f>
        <v>0</v>
      </c>
      <c r="G79" s="137">
        <f>SUM(G72:G78)</f>
        <v>0</v>
      </c>
      <c r="H79" s="138">
        <v>0</v>
      </c>
      <c r="I79" s="139">
        <f t="shared" ref="I79:O79" si="6">SUM(I72:I78)</f>
        <v>0</v>
      </c>
      <c r="J79" s="116">
        <f t="shared" si="6"/>
        <v>0</v>
      </c>
      <c r="K79" s="116">
        <f t="shared" si="6"/>
        <v>0</v>
      </c>
      <c r="L79" s="116">
        <f t="shared" si="6"/>
        <v>0</v>
      </c>
      <c r="M79" s="116">
        <f t="shared" si="6"/>
        <v>0</v>
      </c>
      <c r="N79" s="116">
        <f t="shared" si="6"/>
        <v>0</v>
      </c>
      <c r="O79" s="117">
        <f t="shared" si="6"/>
        <v>0</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547" t="s">
        <v>56</v>
      </c>
      <c r="B84" s="548" t="s">
        <v>178</v>
      </c>
      <c r="C84" s="149" t="s">
        <v>9</v>
      </c>
      <c r="D84" s="150" t="s">
        <v>58</v>
      </c>
      <c r="E84" s="151" t="s">
        <v>59</v>
      </c>
      <c r="F84" s="152" t="s">
        <v>60</v>
      </c>
      <c r="G84" s="152" t="s">
        <v>61</v>
      </c>
      <c r="H84" s="152" t="s">
        <v>62</v>
      </c>
      <c r="I84" s="152" t="s">
        <v>63</v>
      </c>
      <c r="J84" s="152" t="s">
        <v>64</v>
      </c>
      <c r="K84" s="153" t="s">
        <v>65</v>
      </c>
    </row>
    <row r="85" spans="1:16" ht="15" customHeight="1">
      <c r="A85" s="2680">
        <v>1</v>
      </c>
      <c r="B85" s="1881" t="s">
        <v>541</v>
      </c>
      <c r="C85" s="72">
        <v>2014</v>
      </c>
      <c r="D85" s="154"/>
      <c r="E85" s="155"/>
      <c r="F85" s="31"/>
      <c r="G85" s="31"/>
      <c r="H85" s="31"/>
      <c r="I85" s="31"/>
      <c r="J85" s="31"/>
      <c r="K85" s="34"/>
    </row>
    <row r="86" spans="1:16">
      <c r="A86" s="2679"/>
      <c r="B86" s="1881"/>
      <c r="C86" s="73">
        <v>2015</v>
      </c>
      <c r="D86" s="156">
        <v>0</v>
      </c>
      <c r="E86" s="112">
        <v>0</v>
      </c>
      <c r="F86" s="38"/>
      <c r="G86" s="38"/>
      <c r="H86" s="38"/>
      <c r="I86" s="38"/>
      <c r="J86" s="38"/>
      <c r="K86" s="88"/>
    </row>
    <row r="87" spans="1:16">
      <c r="A87" s="2679"/>
      <c r="B87" s="1881"/>
      <c r="C87" s="73">
        <v>2016</v>
      </c>
      <c r="D87" s="156">
        <v>0</v>
      </c>
      <c r="E87" s="112">
        <v>0</v>
      </c>
      <c r="F87" s="38"/>
      <c r="G87" s="38"/>
      <c r="H87" s="38"/>
      <c r="I87" s="38"/>
      <c r="J87" s="38"/>
      <c r="K87" s="88"/>
    </row>
    <row r="88" spans="1:16">
      <c r="A88" s="2679"/>
      <c r="B88" s="1881"/>
      <c r="C88" s="73">
        <v>2017</v>
      </c>
      <c r="D88" s="156">
        <v>1</v>
      </c>
      <c r="E88" s="112">
        <v>1</v>
      </c>
      <c r="F88" s="38"/>
      <c r="G88" s="38"/>
      <c r="H88" s="38"/>
      <c r="I88" s="38"/>
      <c r="J88" s="38"/>
      <c r="K88" s="88"/>
    </row>
    <row r="89" spans="1:16">
      <c r="A89" s="2679"/>
      <c r="B89" s="1881"/>
      <c r="C89" s="73">
        <v>2018</v>
      </c>
      <c r="D89" s="156"/>
      <c r="E89" s="112"/>
      <c r="F89" s="38"/>
      <c r="G89" s="38"/>
      <c r="H89" s="38"/>
      <c r="I89" s="38"/>
      <c r="J89" s="38"/>
      <c r="K89" s="88"/>
    </row>
    <row r="90" spans="1:16">
      <c r="A90" s="2679"/>
      <c r="B90" s="1881"/>
      <c r="C90" s="73">
        <v>2019</v>
      </c>
      <c r="D90" s="156"/>
      <c r="E90" s="112"/>
      <c r="F90" s="38"/>
      <c r="G90" s="38"/>
      <c r="H90" s="38"/>
      <c r="I90" s="38"/>
      <c r="J90" s="38"/>
      <c r="K90" s="88"/>
    </row>
    <row r="91" spans="1:16">
      <c r="A91" s="2679"/>
      <c r="B91" s="1881"/>
      <c r="C91" s="73">
        <v>2020</v>
      </c>
      <c r="D91" s="156"/>
      <c r="E91" s="112"/>
      <c r="F91" s="38"/>
      <c r="G91" s="38"/>
      <c r="H91" s="38"/>
      <c r="I91" s="38"/>
      <c r="J91" s="38"/>
      <c r="K91" s="88"/>
    </row>
    <row r="92" spans="1:16" ht="18" customHeight="1" thickBot="1">
      <c r="A92" s="2664"/>
      <c r="B92" s="1883"/>
      <c r="C92" s="136" t="s">
        <v>13</v>
      </c>
      <c r="D92" s="157">
        <f t="shared" ref="D92:I92" si="7">SUM(D85:D91)</f>
        <v>1</v>
      </c>
      <c r="E92" s="115">
        <f t="shared" si="7"/>
        <v>1</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051" t="s">
        <v>68</v>
      </c>
      <c r="B96" s="2052" t="s">
        <v>179</v>
      </c>
      <c r="C96" s="2058" t="s">
        <v>9</v>
      </c>
      <c r="D96" s="1916" t="s">
        <v>70</v>
      </c>
      <c r="E96" s="1917"/>
      <c r="F96" s="162" t="s">
        <v>71</v>
      </c>
      <c r="G96" s="549"/>
      <c r="H96" s="549"/>
      <c r="I96" s="549"/>
      <c r="J96" s="549"/>
      <c r="K96" s="549"/>
      <c r="L96" s="549"/>
      <c r="M96" s="550"/>
      <c r="N96" s="165"/>
      <c r="O96" s="165"/>
      <c r="P96" s="165"/>
    </row>
    <row r="97" spans="1:16" ht="100.5" customHeight="1">
      <c r="A97" s="1910"/>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2662" t="s">
        <v>542</v>
      </c>
      <c r="B98" s="2683" t="s">
        <v>543</v>
      </c>
      <c r="C98" s="106">
        <v>2014</v>
      </c>
      <c r="D98" s="30"/>
      <c r="E98" s="31"/>
      <c r="F98" s="174"/>
      <c r="G98" s="175"/>
      <c r="H98" s="175"/>
      <c r="I98" s="175"/>
      <c r="J98" s="175"/>
      <c r="K98" s="175"/>
      <c r="L98" s="175"/>
      <c r="M98" s="176"/>
      <c r="N98" s="165"/>
      <c r="O98" s="165"/>
      <c r="P98" s="165"/>
    </row>
    <row r="99" spans="1:16" ht="16.5" customHeight="1">
      <c r="A99" s="2681"/>
      <c r="B99" s="2683"/>
      <c r="C99" s="110">
        <v>2015</v>
      </c>
      <c r="D99" s="37"/>
      <c r="E99" s="38"/>
      <c r="F99" s="177"/>
      <c r="G99" s="178"/>
      <c r="H99" s="178"/>
      <c r="I99" s="178"/>
      <c r="J99" s="178"/>
      <c r="K99" s="178"/>
      <c r="L99" s="178"/>
      <c r="M99" s="179"/>
      <c r="N99" s="165"/>
      <c r="O99" s="165"/>
      <c r="P99" s="165"/>
    </row>
    <row r="100" spans="1:16" ht="16.5" customHeight="1">
      <c r="A100" s="2681"/>
      <c r="B100" s="2683"/>
      <c r="C100" s="110">
        <v>2016</v>
      </c>
      <c r="D100" s="37"/>
      <c r="E100" s="38"/>
      <c r="F100" s="177"/>
      <c r="G100" s="178"/>
      <c r="H100" s="178"/>
      <c r="I100" s="178"/>
      <c r="J100" s="178"/>
      <c r="K100" s="178"/>
      <c r="L100" s="178"/>
      <c r="M100" s="179"/>
      <c r="N100" s="165"/>
      <c r="O100" s="165"/>
      <c r="P100" s="165"/>
    </row>
    <row r="101" spans="1:16" ht="16.5" customHeight="1">
      <c r="A101" s="2681"/>
      <c r="B101" s="2683"/>
      <c r="C101" s="110">
        <v>2017</v>
      </c>
      <c r="D101" s="37">
        <v>1</v>
      </c>
      <c r="E101" s="38">
        <v>5</v>
      </c>
      <c r="F101" s="177">
        <v>1</v>
      </c>
      <c r="G101" s="178"/>
      <c r="H101" s="178"/>
      <c r="I101" s="178"/>
      <c r="J101" s="178"/>
      <c r="K101" s="178"/>
      <c r="L101" s="178"/>
      <c r="M101" s="179"/>
      <c r="N101" s="165"/>
      <c r="O101" s="165"/>
      <c r="P101" s="165"/>
    </row>
    <row r="102" spans="1:16" ht="15.75" customHeight="1">
      <c r="A102" s="2681"/>
      <c r="B102" s="2683"/>
      <c r="C102" s="110">
        <v>2018</v>
      </c>
      <c r="D102" s="37"/>
      <c r="E102" s="38"/>
      <c r="F102" s="177"/>
      <c r="G102" s="178"/>
      <c r="H102" s="178"/>
      <c r="I102" s="178"/>
      <c r="J102" s="178"/>
      <c r="K102" s="178"/>
      <c r="L102" s="178"/>
      <c r="M102" s="179"/>
      <c r="N102" s="165"/>
      <c r="O102" s="165"/>
      <c r="P102" s="165"/>
    </row>
    <row r="103" spans="1:16" ht="14.25" customHeight="1">
      <c r="A103" s="2681"/>
      <c r="B103" s="2683"/>
      <c r="C103" s="110">
        <v>2019</v>
      </c>
      <c r="D103" s="37"/>
      <c r="E103" s="38"/>
      <c r="F103" s="177"/>
      <c r="G103" s="178"/>
      <c r="H103" s="178"/>
      <c r="I103" s="178"/>
      <c r="J103" s="178"/>
      <c r="K103" s="178"/>
      <c r="L103" s="178"/>
      <c r="M103" s="179"/>
      <c r="N103" s="165"/>
      <c r="O103" s="165"/>
      <c r="P103" s="165"/>
    </row>
    <row r="104" spans="1:16" ht="14.25" customHeight="1">
      <c r="A104" s="2681"/>
      <c r="B104" s="2683"/>
      <c r="C104" s="110">
        <v>2020</v>
      </c>
      <c r="D104" s="37"/>
      <c r="E104" s="38"/>
      <c r="F104" s="177"/>
      <c r="G104" s="178"/>
      <c r="H104" s="178"/>
      <c r="I104" s="178"/>
      <c r="J104" s="178"/>
      <c r="K104" s="178"/>
      <c r="L104" s="178"/>
      <c r="M104" s="179"/>
      <c r="N104" s="165"/>
      <c r="O104" s="165"/>
      <c r="P104" s="165"/>
    </row>
    <row r="105" spans="1:16" ht="19.5" customHeight="1" thickBot="1">
      <c r="A105" s="2682"/>
      <c r="B105" s="2684"/>
      <c r="C105" s="113" t="s">
        <v>13</v>
      </c>
      <c r="D105" s="139">
        <f>SUM(D98:D104)</f>
        <v>1</v>
      </c>
      <c r="E105" s="116">
        <f t="shared" ref="E105:K105" si="8">SUM(E98:E104)</f>
        <v>5</v>
      </c>
      <c r="F105" s="180">
        <f t="shared" si="8"/>
        <v>1</v>
      </c>
      <c r="G105" s="181">
        <f t="shared" si="8"/>
        <v>0</v>
      </c>
      <c r="H105" s="181">
        <f t="shared" si="8"/>
        <v>0</v>
      </c>
      <c r="I105" s="181">
        <f>SUM(I98:I104)</f>
        <v>0</v>
      </c>
      <c r="J105" s="181">
        <f t="shared" si="8"/>
        <v>0</v>
      </c>
      <c r="K105" s="181">
        <f t="shared" si="8"/>
        <v>0</v>
      </c>
      <c r="L105" s="181">
        <f>SUM(L98:L104)</f>
        <v>0</v>
      </c>
      <c r="M105" s="182">
        <f>SUM(M98:M104)</f>
        <v>0</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051" t="s">
        <v>77</v>
      </c>
      <c r="B107" s="2052" t="s">
        <v>179</v>
      </c>
      <c r="C107" s="2058" t="s">
        <v>9</v>
      </c>
      <c r="D107" s="2414" t="s">
        <v>78</v>
      </c>
      <c r="E107" s="162" t="s">
        <v>79</v>
      </c>
      <c r="F107" s="549"/>
      <c r="G107" s="549"/>
      <c r="H107" s="549"/>
      <c r="I107" s="549"/>
      <c r="J107" s="549"/>
      <c r="K107" s="549"/>
      <c r="L107" s="550"/>
      <c r="M107" s="185"/>
      <c r="N107" s="185"/>
    </row>
    <row r="108" spans="1:16" ht="103.5"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2675" t="s">
        <v>544</v>
      </c>
      <c r="B109" s="2676"/>
      <c r="C109" s="106">
        <v>2014</v>
      </c>
      <c r="D109" s="31"/>
      <c r="E109" s="174"/>
      <c r="F109" s="175"/>
      <c r="G109" s="175"/>
      <c r="H109" s="175"/>
      <c r="I109" s="175"/>
      <c r="J109" s="175"/>
      <c r="K109" s="175"/>
      <c r="L109" s="176"/>
      <c r="M109" s="185"/>
      <c r="N109" s="185"/>
    </row>
    <row r="110" spans="1:16">
      <c r="A110" s="2675"/>
      <c r="B110" s="2676"/>
      <c r="C110" s="110">
        <v>2015</v>
      </c>
      <c r="D110" s="38"/>
      <c r="E110" s="177"/>
      <c r="F110" s="178"/>
      <c r="G110" s="178"/>
      <c r="H110" s="178"/>
      <c r="I110" s="178"/>
      <c r="J110" s="178"/>
      <c r="K110" s="178"/>
      <c r="L110" s="179"/>
      <c r="M110" s="185"/>
      <c r="N110" s="185"/>
    </row>
    <row r="111" spans="1:16">
      <c r="A111" s="2675"/>
      <c r="B111" s="2676"/>
      <c r="C111" s="110">
        <v>2016</v>
      </c>
      <c r="D111" s="38"/>
      <c r="E111" s="177"/>
      <c r="F111" s="178"/>
      <c r="G111" s="178"/>
      <c r="H111" s="178"/>
      <c r="I111" s="178"/>
      <c r="J111" s="178"/>
      <c r="K111" s="178"/>
      <c r="L111" s="179"/>
      <c r="M111" s="185"/>
      <c r="N111" s="185"/>
    </row>
    <row r="112" spans="1:16">
      <c r="A112" s="2675"/>
      <c r="B112" s="2676"/>
      <c r="C112" s="110">
        <v>2017</v>
      </c>
      <c r="D112" s="38">
        <v>277</v>
      </c>
      <c r="E112" s="177">
        <v>277</v>
      </c>
      <c r="F112" s="178"/>
      <c r="G112" s="178"/>
      <c r="H112" s="178"/>
      <c r="I112" s="178"/>
      <c r="J112" s="178"/>
      <c r="K112" s="178"/>
      <c r="L112" s="179"/>
      <c r="M112" s="185"/>
      <c r="N112" s="185"/>
    </row>
    <row r="113" spans="1:14">
      <c r="A113" s="2675"/>
      <c r="B113" s="2676"/>
      <c r="C113" s="110">
        <v>2018</v>
      </c>
      <c r="D113" s="38"/>
      <c r="E113" s="177"/>
      <c r="F113" s="178"/>
      <c r="G113" s="178"/>
      <c r="H113" s="178"/>
      <c r="I113" s="178"/>
      <c r="J113" s="178"/>
      <c r="K113" s="178"/>
      <c r="L113" s="179"/>
      <c r="M113" s="185"/>
      <c r="N113" s="185"/>
    </row>
    <row r="114" spans="1:14">
      <c r="A114" s="2675"/>
      <c r="B114" s="2676"/>
      <c r="C114" s="110">
        <v>2019</v>
      </c>
      <c r="D114" s="38"/>
      <c r="E114" s="177"/>
      <c r="F114" s="178"/>
      <c r="G114" s="178"/>
      <c r="H114" s="178"/>
      <c r="I114" s="178"/>
      <c r="J114" s="178"/>
      <c r="K114" s="178"/>
      <c r="L114" s="179"/>
      <c r="M114" s="185"/>
      <c r="N114" s="185"/>
    </row>
    <row r="115" spans="1:14">
      <c r="A115" s="2675"/>
      <c r="B115" s="2676"/>
      <c r="C115" s="110">
        <v>2020</v>
      </c>
      <c r="D115" s="38"/>
      <c r="E115" s="177"/>
      <c r="F115" s="178"/>
      <c r="G115" s="178"/>
      <c r="H115" s="178"/>
      <c r="I115" s="178"/>
      <c r="J115" s="178"/>
      <c r="K115" s="178"/>
      <c r="L115" s="179"/>
      <c r="M115" s="185"/>
      <c r="N115" s="185"/>
    </row>
    <row r="116" spans="1:14" ht="25.5" customHeight="1" thickBot="1">
      <c r="A116" s="2677"/>
      <c r="B116" s="2678"/>
      <c r="C116" s="113" t="s">
        <v>13</v>
      </c>
      <c r="D116" s="116">
        <f t="shared" ref="D116:I116" si="9">SUM(D109:D115)</f>
        <v>277</v>
      </c>
      <c r="E116" s="180">
        <f t="shared" si="9"/>
        <v>277</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051" t="s">
        <v>81</v>
      </c>
      <c r="B118" s="2052" t="s">
        <v>179</v>
      </c>
      <c r="C118" s="2058" t="s">
        <v>9</v>
      </c>
      <c r="D118" s="2414" t="s">
        <v>82</v>
      </c>
      <c r="E118" s="162" t="s">
        <v>79</v>
      </c>
      <c r="F118" s="549"/>
      <c r="G118" s="549"/>
      <c r="H118" s="549"/>
      <c r="I118" s="549"/>
      <c r="J118" s="549"/>
      <c r="K118" s="549"/>
      <c r="L118" s="550"/>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2662">
        <v>0</v>
      </c>
      <c r="B120" s="2663"/>
      <c r="C120" s="106">
        <v>2014</v>
      </c>
      <c r="D120" s="31"/>
      <c r="E120" s="174"/>
      <c r="F120" s="175"/>
      <c r="G120" s="175"/>
      <c r="H120" s="175"/>
      <c r="I120" s="175"/>
      <c r="J120" s="175"/>
      <c r="K120" s="175"/>
      <c r="L120" s="176"/>
      <c r="M120" s="185"/>
      <c r="N120" s="185"/>
    </row>
    <row r="121" spans="1:14">
      <c r="A121" s="2662"/>
      <c r="B121" s="2663"/>
      <c r="C121" s="110">
        <v>2015</v>
      </c>
      <c r="D121" s="38"/>
      <c r="E121" s="177"/>
      <c r="F121" s="178"/>
      <c r="G121" s="178"/>
      <c r="H121" s="178"/>
      <c r="I121" s="178"/>
      <c r="J121" s="178"/>
      <c r="K121" s="178"/>
      <c r="L121" s="179"/>
      <c r="M121" s="185"/>
      <c r="N121" s="185"/>
    </row>
    <row r="122" spans="1:14">
      <c r="A122" s="2662"/>
      <c r="B122" s="2663"/>
      <c r="C122" s="110">
        <v>2016</v>
      </c>
      <c r="D122" s="38"/>
      <c r="E122" s="177"/>
      <c r="F122" s="178"/>
      <c r="G122" s="178"/>
      <c r="H122" s="178"/>
      <c r="I122" s="178"/>
      <c r="J122" s="178"/>
      <c r="K122" s="178"/>
      <c r="L122" s="179"/>
      <c r="M122" s="185"/>
      <c r="N122" s="185"/>
    </row>
    <row r="123" spans="1:14">
      <c r="A123" s="2662"/>
      <c r="B123" s="2663"/>
      <c r="C123" s="110">
        <v>2017</v>
      </c>
      <c r="D123" s="38"/>
      <c r="E123" s="177"/>
      <c r="F123" s="178"/>
      <c r="G123" s="178"/>
      <c r="H123" s="178"/>
      <c r="I123" s="178"/>
      <c r="J123" s="178"/>
      <c r="K123" s="178"/>
      <c r="L123" s="179"/>
      <c r="M123" s="185"/>
      <c r="N123" s="185"/>
    </row>
    <row r="124" spans="1:14">
      <c r="A124" s="2662"/>
      <c r="B124" s="2663"/>
      <c r="C124" s="110">
        <v>2018</v>
      </c>
      <c r="D124" s="38"/>
      <c r="E124" s="177"/>
      <c r="F124" s="178"/>
      <c r="G124" s="178"/>
      <c r="H124" s="178"/>
      <c r="I124" s="178"/>
      <c r="J124" s="178"/>
      <c r="K124" s="178"/>
      <c r="L124" s="179"/>
      <c r="M124" s="185"/>
      <c r="N124" s="185"/>
    </row>
    <row r="125" spans="1:14">
      <c r="A125" s="2662"/>
      <c r="B125" s="2663"/>
      <c r="C125" s="110">
        <v>2019</v>
      </c>
      <c r="D125" s="38"/>
      <c r="E125" s="177"/>
      <c r="F125" s="178"/>
      <c r="G125" s="178"/>
      <c r="H125" s="178"/>
      <c r="I125" s="178"/>
      <c r="J125" s="178"/>
      <c r="K125" s="178"/>
      <c r="L125" s="179"/>
      <c r="M125" s="185"/>
      <c r="N125" s="185"/>
    </row>
    <row r="126" spans="1:14">
      <c r="A126" s="2662"/>
      <c r="B126" s="2663"/>
      <c r="C126" s="110">
        <v>2020</v>
      </c>
      <c r="D126" s="38"/>
      <c r="E126" s="177"/>
      <c r="F126" s="178"/>
      <c r="G126" s="178"/>
      <c r="H126" s="178"/>
      <c r="I126" s="178"/>
      <c r="J126" s="178"/>
      <c r="K126" s="178"/>
      <c r="L126" s="179"/>
      <c r="M126" s="185"/>
      <c r="N126" s="185"/>
    </row>
    <row r="127" spans="1:14" ht="15.75" thickBot="1">
      <c r="A127" s="2664"/>
      <c r="B127" s="2665"/>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051" t="s">
        <v>84</v>
      </c>
      <c r="B129" s="2052" t="s">
        <v>179</v>
      </c>
      <c r="C129" s="1534" t="s">
        <v>9</v>
      </c>
      <c r="D129" s="189" t="s">
        <v>85</v>
      </c>
      <c r="E129" s="553"/>
      <c r="F129" s="553"/>
      <c r="G129" s="191"/>
      <c r="H129" s="185"/>
      <c r="I129" s="185"/>
      <c r="J129" s="185"/>
      <c r="K129" s="185"/>
      <c r="L129" s="185"/>
      <c r="M129" s="185"/>
      <c r="N129" s="185"/>
    </row>
    <row r="130" spans="1:16" ht="77.25" customHeight="1">
      <c r="A130" s="1910"/>
      <c r="B130" s="1912"/>
      <c r="C130" s="1528"/>
      <c r="D130" s="166" t="s">
        <v>86</v>
      </c>
      <c r="E130" s="193" t="s">
        <v>87</v>
      </c>
      <c r="F130" s="167" t="s">
        <v>88</v>
      </c>
      <c r="G130" s="194" t="s">
        <v>13</v>
      </c>
      <c r="H130" s="185"/>
      <c r="I130" s="185"/>
      <c r="J130" s="185"/>
      <c r="K130" s="185"/>
      <c r="L130" s="185"/>
      <c r="M130" s="185"/>
      <c r="N130" s="185"/>
    </row>
    <row r="131" spans="1:16" ht="15" customHeight="1">
      <c r="A131" s="2672">
        <v>6</v>
      </c>
      <c r="B131" s="2063" t="s">
        <v>545</v>
      </c>
      <c r="C131" s="106">
        <v>2015</v>
      </c>
      <c r="D131" s="30"/>
      <c r="E131" s="31"/>
      <c r="F131" s="31"/>
      <c r="G131" s="195">
        <f t="shared" ref="G131:G136" si="11">SUM(D131:F131)</f>
        <v>0</v>
      </c>
      <c r="H131" s="185"/>
      <c r="I131" s="185"/>
      <c r="J131" s="185"/>
      <c r="K131" s="185"/>
      <c r="L131" s="185"/>
      <c r="M131" s="185"/>
      <c r="N131" s="185"/>
    </row>
    <row r="132" spans="1:16">
      <c r="A132" s="2673"/>
      <c r="B132" s="2061"/>
      <c r="C132" s="110">
        <v>2016</v>
      </c>
      <c r="D132" s="37"/>
      <c r="E132" s="38"/>
      <c r="F132" s="38"/>
      <c r="G132" s="195">
        <f t="shared" si="11"/>
        <v>0</v>
      </c>
      <c r="H132" s="185"/>
      <c r="I132" s="185"/>
      <c r="J132" s="185"/>
      <c r="K132" s="185"/>
      <c r="L132" s="185"/>
      <c r="M132" s="185"/>
      <c r="N132" s="185"/>
    </row>
    <row r="133" spans="1:16">
      <c r="A133" s="2673"/>
      <c r="B133" s="2061"/>
      <c r="C133" s="110">
        <v>2017</v>
      </c>
      <c r="D133" s="37"/>
      <c r="E133" s="38">
        <v>6</v>
      </c>
      <c r="F133" s="38"/>
      <c r="G133" s="195">
        <f t="shared" si="11"/>
        <v>6</v>
      </c>
      <c r="H133" s="185"/>
      <c r="I133" s="185"/>
      <c r="J133" s="185"/>
      <c r="K133" s="185"/>
      <c r="L133" s="185"/>
      <c r="M133" s="185"/>
      <c r="N133" s="185"/>
    </row>
    <row r="134" spans="1:16">
      <c r="A134" s="2673"/>
      <c r="B134" s="2061"/>
      <c r="C134" s="110">
        <v>2018</v>
      </c>
      <c r="D134" s="37"/>
      <c r="E134" s="38"/>
      <c r="F134" s="38"/>
      <c r="G134" s="195">
        <f t="shared" si="11"/>
        <v>0</v>
      </c>
      <c r="H134" s="185"/>
      <c r="I134" s="185"/>
      <c r="J134" s="185"/>
      <c r="K134" s="185"/>
      <c r="L134" s="185"/>
      <c r="M134" s="185"/>
      <c r="N134" s="185"/>
    </row>
    <row r="135" spans="1:16">
      <c r="A135" s="2673"/>
      <c r="B135" s="2061"/>
      <c r="C135" s="110">
        <v>2019</v>
      </c>
      <c r="D135" s="37"/>
      <c r="E135" s="38"/>
      <c r="F135" s="38"/>
      <c r="G135" s="195">
        <f t="shared" si="11"/>
        <v>0</v>
      </c>
      <c r="H135" s="185"/>
      <c r="I135" s="185"/>
      <c r="J135" s="185"/>
      <c r="K135" s="185"/>
      <c r="L135" s="185"/>
      <c r="M135" s="185"/>
      <c r="N135" s="185"/>
    </row>
    <row r="136" spans="1:16">
      <c r="A136" s="2673"/>
      <c r="B136" s="2061"/>
      <c r="C136" s="110">
        <v>2020</v>
      </c>
      <c r="D136" s="37"/>
      <c r="E136" s="38"/>
      <c r="F136" s="38"/>
      <c r="G136" s="195">
        <f t="shared" si="11"/>
        <v>0</v>
      </c>
      <c r="H136" s="185"/>
      <c r="I136" s="185"/>
      <c r="J136" s="185"/>
      <c r="K136" s="185"/>
      <c r="L136" s="185"/>
      <c r="M136" s="185"/>
      <c r="N136" s="185"/>
    </row>
    <row r="137" spans="1:16" ht="17.25" customHeight="1" thickBot="1">
      <c r="A137" s="2674"/>
      <c r="B137" s="2062"/>
      <c r="C137" s="113" t="s">
        <v>13</v>
      </c>
      <c r="D137" s="139">
        <f>SUM(D131:D136)</f>
        <v>0</v>
      </c>
      <c r="E137" s="139">
        <f t="shared" ref="E137:F137" si="12">SUM(E131:E136)</f>
        <v>6</v>
      </c>
      <c r="F137" s="139">
        <f t="shared" si="12"/>
        <v>0</v>
      </c>
      <c r="G137" s="196">
        <f>SUM(G131:G136)</f>
        <v>6</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050" t="s">
        <v>91</v>
      </c>
      <c r="B142" s="2048" t="s">
        <v>179</v>
      </c>
      <c r="C142" s="2043" t="s">
        <v>9</v>
      </c>
      <c r="D142" s="554" t="s">
        <v>92</v>
      </c>
      <c r="E142" s="555"/>
      <c r="F142" s="555"/>
      <c r="G142" s="555"/>
      <c r="H142" s="555"/>
      <c r="I142" s="556"/>
      <c r="J142" s="2044" t="s">
        <v>93</v>
      </c>
      <c r="K142" s="2045"/>
      <c r="L142" s="2045"/>
      <c r="M142" s="2045"/>
      <c r="N142" s="2046"/>
      <c r="O142" s="165"/>
      <c r="P142" s="165"/>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2662">
        <v>0</v>
      </c>
      <c r="B144" s="2663"/>
      <c r="C144" s="106">
        <v>2014</v>
      </c>
      <c r="D144" s="30"/>
      <c r="E144" s="30"/>
      <c r="F144" s="31"/>
      <c r="G144" s="175"/>
      <c r="H144" s="175"/>
      <c r="I144" s="213">
        <f>D144+F144+G144+H144</f>
        <v>0</v>
      </c>
      <c r="J144" s="214"/>
      <c r="K144" s="215"/>
      <c r="L144" s="214"/>
      <c r="M144" s="215"/>
      <c r="N144" s="216"/>
      <c r="O144" s="165"/>
      <c r="P144" s="165"/>
    </row>
    <row r="145" spans="1:16" ht="19.5" customHeight="1">
      <c r="A145" s="2662"/>
      <c r="B145" s="2663"/>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2662"/>
      <c r="B146" s="2663"/>
      <c r="C146" s="110">
        <v>2016</v>
      </c>
      <c r="D146" s="37"/>
      <c r="E146" s="37"/>
      <c r="F146" s="38"/>
      <c r="G146" s="178"/>
      <c r="H146" s="178"/>
      <c r="I146" s="213">
        <f t="shared" si="13"/>
        <v>0</v>
      </c>
      <c r="J146" s="217"/>
      <c r="K146" s="218"/>
      <c r="L146" s="217"/>
      <c r="M146" s="218"/>
      <c r="N146" s="219"/>
      <c r="O146" s="165"/>
      <c r="P146" s="165"/>
    </row>
    <row r="147" spans="1:16" ht="17.25" customHeight="1">
      <c r="A147" s="2662"/>
      <c r="B147" s="2663"/>
      <c r="C147" s="110">
        <v>2017</v>
      </c>
      <c r="D147" s="37"/>
      <c r="E147" s="37"/>
      <c r="F147" s="38"/>
      <c r="G147" s="178"/>
      <c r="H147" s="178"/>
      <c r="I147" s="213">
        <f t="shared" si="13"/>
        <v>0</v>
      </c>
      <c r="J147" s="217"/>
      <c r="K147" s="218"/>
      <c r="L147" s="217"/>
      <c r="M147" s="218"/>
      <c r="N147" s="219"/>
      <c r="O147" s="165"/>
      <c r="P147" s="165"/>
    </row>
    <row r="148" spans="1:16" ht="19.5" customHeight="1">
      <c r="A148" s="2662"/>
      <c r="B148" s="2663"/>
      <c r="C148" s="110">
        <v>2018</v>
      </c>
      <c r="D148" s="37"/>
      <c r="E148" s="37"/>
      <c r="F148" s="38"/>
      <c r="G148" s="178"/>
      <c r="H148" s="178"/>
      <c r="I148" s="213">
        <f t="shared" si="13"/>
        <v>0</v>
      </c>
      <c r="J148" s="217"/>
      <c r="K148" s="218"/>
      <c r="L148" s="217"/>
      <c r="M148" s="218"/>
      <c r="N148" s="219"/>
      <c r="O148" s="165"/>
      <c r="P148" s="165"/>
    </row>
    <row r="149" spans="1:16" ht="19.5" customHeight="1">
      <c r="A149" s="2662"/>
      <c r="B149" s="2663"/>
      <c r="C149" s="110">
        <v>2019</v>
      </c>
      <c r="D149" s="37"/>
      <c r="E149" s="37"/>
      <c r="F149" s="38"/>
      <c r="G149" s="178"/>
      <c r="H149" s="178"/>
      <c r="I149" s="213">
        <f t="shared" si="13"/>
        <v>0</v>
      </c>
      <c r="J149" s="217"/>
      <c r="K149" s="218"/>
      <c r="L149" s="217"/>
      <c r="M149" s="218"/>
      <c r="N149" s="219"/>
      <c r="O149" s="165"/>
      <c r="P149" s="165"/>
    </row>
    <row r="150" spans="1:16" ht="18.75" customHeight="1">
      <c r="A150" s="2662"/>
      <c r="B150" s="2663"/>
      <c r="C150" s="110">
        <v>2020</v>
      </c>
      <c r="D150" s="37"/>
      <c r="E150" s="37"/>
      <c r="F150" s="38"/>
      <c r="G150" s="178"/>
      <c r="H150" s="178"/>
      <c r="I150" s="213">
        <f t="shared" si="13"/>
        <v>0</v>
      </c>
      <c r="J150" s="217"/>
      <c r="K150" s="218"/>
      <c r="L150" s="217"/>
      <c r="M150" s="218"/>
      <c r="N150" s="219"/>
      <c r="O150" s="165"/>
      <c r="P150" s="165"/>
    </row>
    <row r="151" spans="1:16" ht="18" customHeight="1" thickBot="1">
      <c r="A151" s="2664"/>
      <c r="B151" s="2665"/>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2047" t="s">
        <v>105</v>
      </c>
      <c r="B153" s="2048" t="s">
        <v>179</v>
      </c>
      <c r="C153" s="2049" t="s">
        <v>9</v>
      </c>
      <c r="D153" s="557" t="s">
        <v>106</v>
      </c>
      <c r="E153" s="557"/>
      <c r="F153" s="558"/>
      <c r="G153" s="558"/>
      <c r="H153" s="557" t="s">
        <v>107</v>
      </c>
      <c r="I153" s="557"/>
      <c r="J153" s="559"/>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2662">
        <v>0</v>
      </c>
      <c r="B155" s="2663"/>
      <c r="C155" s="233">
        <v>2014</v>
      </c>
      <c r="D155" s="214"/>
      <c r="E155" s="175"/>
      <c r="F155" s="215"/>
      <c r="G155" s="213">
        <f>SUM(D155:F155)</f>
        <v>0</v>
      </c>
      <c r="H155" s="214"/>
      <c r="I155" s="175"/>
      <c r="J155" s="176"/>
      <c r="O155" s="165"/>
      <c r="P155" s="165"/>
    </row>
    <row r="156" spans="1:16" ht="19.5" customHeight="1">
      <c r="A156" s="2662"/>
      <c r="B156" s="2663"/>
      <c r="C156" s="234">
        <v>2015</v>
      </c>
      <c r="D156" s="217"/>
      <c r="E156" s="178"/>
      <c r="F156" s="218"/>
      <c r="G156" s="213">
        <f t="shared" ref="G156:G161" si="15">SUM(D156:F156)</f>
        <v>0</v>
      </c>
      <c r="H156" s="217"/>
      <c r="I156" s="178"/>
      <c r="J156" s="179"/>
      <c r="O156" s="165"/>
      <c r="P156" s="165"/>
    </row>
    <row r="157" spans="1:16" ht="17.25" customHeight="1">
      <c r="A157" s="2662"/>
      <c r="B157" s="2663"/>
      <c r="C157" s="234">
        <v>2016</v>
      </c>
      <c r="D157" s="217"/>
      <c r="E157" s="178"/>
      <c r="F157" s="218"/>
      <c r="G157" s="213">
        <f t="shared" si="15"/>
        <v>0</v>
      </c>
      <c r="H157" s="217"/>
      <c r="I157" s="178"/>
      <c r="J157" s="179"/>
      <c r="O157" s="165"/>
      <c r="P157" s="165"/>
    </row>
    <row r="158" spans="1:16" ht="15" customHeight="1">
      <c r="A158" s="2662"/>
      <c r="B158" s="2663"/>
      <c r="C158" s="234">
        <v>2017</v>
      </c>
      <c r="D158" s="217"/>
      <c r="E158" s="178"/>
      <c r="F158" s="218"/>
      <c r="G158" s="213">
        <f t="shared" si="15"/>
        <v>0</v>
      </c>
      <c r="H158" s="217"/>
      <c r="I158" s="178"/>
      <c r="J158" s="179"/>
      <c r="O158" s="165"/>
      <c r="P158" s="165"/>
    </row>
    <row r="159" spans="1:16" ht="19.5" customHeight="1">
      <c r="A159" s="2662"/>
      <c r="B159" s="2663"/>
      <c r="C159" s="234">
        <v>2018</v>
      </c>
      <c r="D159" s="217"/>
      <c r="E159" s="178"/>
      <c r="F159" s="218"/>
      <c r="G159" s="213">
        <f t="shared" si="15"/>
        <v>0</v>
      </c>
      <c r="H159" s="217"/>
      <c r="I159" s="178"/>
      <c r="J159" s="179"/>
      <c r="O159" s="165"/>
      <c r="P159" s="165"/>
    </row>
    <row r="160" spans="1:16" ht="15" customHeight="1">
      <c r="A160" s="2662"/>
      <c r="B160" s="2663"/>
      <c r="C160" s="234">
        <v>2019</v>
      </c>
      <c r="D160" s="217"/>
      <c r="E160" s="178"/>
      <c r="F160" s="218"/>
      <c r="G160" s="213">
        <f t="shared" si="15"/>
        <v>0</v>
      </c>
      <c r="H160" s="217"/>
      <c r="I160" s="178"/>
      <c r="J160" s="179"/>
      <c r="O160" s="165"/>
      <c r="P160" s="165"/>
    </row>
    <row r="161" spans="1:20" ht="17.25" customHeight="1">
      <c r="A161" s="2662"/>
      <c r="B161" s="2663"/>
      <c r="C161" s="234">
        <v>2020</v>
      </c>
      <c r="D161" s="217"/>
      <c r="E161" s="178"/>
      <c r="F161" s="218"/>
      <c r="G161" s="213">
        <f t="shared" si="15"/>
        <v>0</v>
      </c>
      <c r="H161" s="217"/>
      <c r="I161" s="178"/>
      <c r="J161" s="179"/>
      <c r="O161" s="165"/>
      <c r="P161" s="165"/>
    </row>
    <row r="162" spans="1:20" ht="15.75" thickBot="1">
      <c r="A162" s="2664"/>
      <c r="B162" s="2665"/>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20" ht="24.75" customHeight="1" thickBot="1">
      <c r="A163" s="237"/>
      <c r="B163" s="238"/>
      <c r="C163" s="239"/>
      <c r="D163" s="165"/>
      <c r="E163" s="560"/>
      <c r="F163" s="165"/>
      <c r="G163" s="165"/>
      <c r="H163" s="165"/>
      <c r="I163" s="165"/>
      <c r="J163" s="241"/>
      <c r="K163" s="242"/>
    </row>
    <row r="164" spans="1:20" ht="95.25" customHeight="1">
      <c r="A164" s="243" t="s">
        <v>115</v>
      </c>
      <c r="B164" s="405" t="s">
        <v>181</v>
      </c>
      <c r="C164" s="1567" t="s">
        <v>9</v>
      </c>
      <c r="D164" s="246" t="s">
        <v>117</v>
      </c>
      <c r="E164" s="246" t="s">
        <v>118</v>
      </c>
      <c r="F164" s="561" t="s">
        <v>119</v>
      </c>
      <c r="G164" s="246" t="s">
        <v>120</v>
      </c>
      <c r="H164" s="246" t="s">
        <v>121</v>
      </c>
      <c r="I164" s="248" t="s">
        <v>122</v>
      </c>
      <c r="J164" s="249" t="s">
        <v>123</v>
      </c>
      <c r="K164" s="249" t="s">
        <v>124</v>
      </c>
      <c r="L164" s="1531"/>
    </row>
    <row r="165" spans="1:20" ht="15.75" customHeight="1">
      <c r="A165" s="2666">
        <v>0</v>
      </c>
      <c r="B165" s="2667"/>
      <c r="C165" s="251">
        <v>2014</v>
      </c>
      <c r="D165" s="175"/>
      <c r="E165" s="175"/>
      <c r="F165" s="175"/>
      <c r="G165" s="175"/>
      <c r="H165" s="175"/>
      <c r="I165" s="176"/>
      <c r="J165" s="252">
        <f>SUM(D165,F165,H165)</f>
        <v>0</v>
      </c>
      <c r="K165" s="253">
        <f>SUM(E165,G165,I165)</f>
        <v>0</v>
      </c>
      <c r="L165" s="1531"/>
    </row>
    <row r="166" spans="1:20">
      <c r="A166" s="2668"/>
      <c r="B166" s="2669"/>
      <c r="C166" s="254">
        <v>2015</v>
      </c>
      <c r="D166" s="255"/>
      <c r="E166" s="255"/>
      <c r="F166" s="255"/>
      <c r="G166" s="255"/>
      <c r="H166" s="255"/>
      <c r="I166" s="256"/>
      <c r="J166" s="407">
        <f t="shared" ref="J166:K171" si="17">SUM(D166,F166,H166)</f>
        <v>0</v>
      </c>
      <c r="K166" s="408">
        <f t="shared" si="17"/>
        <v>0</v>
      </c>
      <c r="L166" s="1531"/>
    </row>
    <row r="167" spans="1:20">
      <c r="A167" s="2668"/>
      <c r="B167" s="2669"/>
      <c r="C167" s="254">
        <v>2016</v>
      </c>
      <c r="D167" s="255"/>
      <c r="E167" s="255"/>
      <c r="F167" s="255"/>
      <c r="G167" s="255"/>
      <c r="H167" s="255"/>
      <c r="I167" s="256"/>
      <c r="J167" s="407">
        <f t="shared" si="17"/>
        <v>0</v>
      </c>
      <c r="K167" s="408">
        <f t="shared" si="17"/>
        <v>0</v>
      </c>
    </row>
    <row r="168" spans="1:20">
      <c r="A168" s="2668"/>
      <c r="B168" s="2669"/>
      <c r="C168" s="254">
        <v>2017</v>
      </c>
      <c r="D168" s="255"/>
      <c r="E168" s="165"/>
      <c r="F168" s="255"/>
      <c r="G168" s="255"/>
      <c r="H168" s="255"/>
      <c r="I168" s="256"/>
      <c r="J168" s="407">
        <f t="shared" si="17"/>
        <v>0</v>
      </c>
      <c r="K168" s="408">
        <f t="shared" si="17"/>
        <v>0</v>
      </c>
    </row>
    <row r="169" spans="1:20">
      <c r="A169" s="2668"/>
      <c r="B169" s="2669"/>
      <c r="C169" s="262">
        <v>2018</v>
      </c>
      <c r="D169" s="255"/>
      <c r="E169" s="255"/>
      <c r="F169" s="255"/>
      <c r="G169" s="263"/>
      <c r="H169" s="255"/>
      <c r="I169" s="256"/>
      <c r="J169" s="407">
        <f t="shared" si="17"/>
        <v>0</v>
      </c>
      <c r="K169" s="408">
        <f t="shared" si="17"/>
        <v>0</v>
      </c>
      <c r="L169" s="1531"/>
    </row>
    <row r="170" spans="1:20">
      <c r="A170" s="2668"/>
      <c r="B170" s="2669"/>
      <c r="C170" s="254">
        <v>2019</v>
      </c>
      <c r="D170" s="165"/>
      <c r="E170" s="255"/>
      <c r="F170" s="255"/>
      <c r="G170" s="255"/>
      <c r="H170" s="263"/>
      <c r="I170" s="256"/>
      <c r="J170" s="407">
        <f t="shared" si="17"/>
        <v>0</v>
      </c>
      <c r="K170" s="408">
        <f t="shared" si="17"/>
        <v>0</v>
      </c>
      <c r="L170" s="1531"/>
    </row>
    <row r="171" spans="1:20">
      <c r="A171" s="2668"/>
      <c r="B171" s="2669"/>
      <c r="C171" s="262">
        <v>2020</v>
      </c>
      <c r="D171" s="255"/>
      <c r="E171" s="255"/>
      <c r="F171" s="255"/>
      <c r="G171" s="255"/>
      <c r="H171" s="255"/>
      <c r="I171" s="256"/>
      <c r="J171" s="407">
        <f t="shared" si="17"/>
        <v>0</v>
      </c>
      <c r="K171" s="408">
        <f t="shared" si="17"/>
        <v>0</v>
      </c>
      <c r="L171" s="1531"/>
    </row>
    <row r="172" spans="1:20" ht="41.25" customHeight="1" thickBot="1">
      <c r="A172" s="2670"/>
      <c r="B172" s="2671"/>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1531"/>
    </row>
    <row r="173" spans="1:20"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20" ht="21">
      <c r="A174" s="270" t="s">
        <v>126</v>
      </c>
      <c r="B174" s="270"/>
      <c r="C174" s="271"/>
      <c r="D174" s="271"/>
      <c r="E174" s="271"/>
      <c r="F174" s="271"/>
      <c r="G174" s="271"/>
      <c r="H174" s="271"/>
      <c r="I174" s="271"/>
      <c r="J174" s="271"/>
      <c r="K174" s="271"/>
      <c r="L174" s="271"/>
      <c r="M174" s="271"/>
      <c r="N174" s="271"/>
      <c r="O174" s="271"/>
    </row>
    <row r="175" spans="1:20" ht="21.75" thickBot="1">
      <c r="A175" s="272"/>
      <c r="B175" s="272"/>
    </row>
    <row r="176" spans="1:20" s="56" customFormat="1" ht="22.5" customHeight="1" thickBot="1">
      <c r="A176" s="2039" t="s">
        <v>127</v>
      </c>
      <c r="B176" s="2037" t="s">
        <v>182</v>
      </c>
      <c r="C176" s="2040" t="s">
        <v>9</v>
      </c>
      <c r="D176" s="273" t="s">
        <v>128</v>
      </c>
      <c r="E176" s="562"/>
      <c r="F176" s="562"/>
      <c r="G176" s="563"/>
      <c r="H176" s="276"/>
      <c r="I176" s="1888" t="s">
        <v>129</v>
      </c>
      <c r="J176" s="2041"/>
      <c r="K176" s="2041"/>
      <c r="L176" s="2041"/>
      <c r="M176" s="2041"/>
      <c r="N176" s="2041"/>
      <c r="O176" s="2042"/>
      <c r="Q176" s="2656"/>
      <c r="R176" s="2656"/>
      <c r="S176" s="2656"/>
      <c r="T176" s="2656"/>
    </row>
    <row r="177" spans="1:20" s="56" customFormat="1" ht="129.7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c r="Q177" s="122"/>
      <c r="R177" s="122"/>
      <c r="S177" s="122"/>
      <c r="T177" s="122"/>
    </row>
    <row r="178" spans="1:20" ht="15" customHeight="1">
      <c r="A178" s="2648">
        <v>20</v>
      </c>
      <c r="B178" s="2659" t="s">
        <v>546</v>
      </c>
      <c r="C178" s="106">
        <v>2014</v>
      </c>
      <c r="D178" s="30"/>
      <c r="E178" s="31"/>
      <c r="F178" s="31"/>
      <c r="G178" s="284">
        <f>SUM(D178:F178)</f>
        <v>0</v>
      </c>
      <c r="H178" s="155"/>
      <c r="I178" s="155"/>
      <c r="J178" s="31"/>
      <c r="K178" s="31"/>
      <c r="L178" s="31"/>
      <c r="M178" s="31"/>
      <c r="N178" s="31"/>
      <c r="O178" s="34"/>
      <c r="Q178" s="78"/>
      <c r="R178" s="78"/>
      <c r="S178" s="78"/>
      <c r="T178" s="78"/>
    </row>
    <row r="179" spans="1:20">
      <c r="A179" s="2657"/>
      <c r="B179" s="2660"/>
      <c r="C179" s="110">
        <v>2015</v>
      </c>
      <c r="D179" s="37">
        <v>1</v>
      </c>
      <c r="E179" s="38"/>
      <c r="F179" s="38"/>
      <c r="G179" s="284">
        <f t="shared" ref="G179:G184" si="19">SUM(D179:F179)</f>
        <v>1</v>
      </c>
      <c r="H179" s="411">
        <v>1</v>
      </c>
      <c r="I179" s="112">
        <v>1</v>
      </c>
      <c r="J179" s="38"/>
      <c r="K179" s="38"/>
      <c r="L179" s="38"/>
      <c r="M179" s="38"/>
      <c r="N179" s="38"/>
      <c r="O179" s="88"/>
      <c r="Q179" s="78"/>
      <c r="R179" s="78"/>
      <c r="S179" s="78"/>
      <c r="T179" s="78"/>
    </row>
    <row r="180" spans="1:20">
      <c r="A180" s="2657"/>
      <c r="B180" s="2660"/>
      <c r="C180" s="110">
        <v>2016</v>
      </c>
      <c r="D180" s="37">
        <v>12</v>
      </c>
      <c r="E180" s="38">
        <v>2</v>
      </c>
      <c r="F180" s="38">
        <v>2</v>
      </c>
      <c r="G180" s="284">
        <f t="shared" si="19"/>
        <v>16</v>
      </c>
      <c r="H180" s="411">
        <v>16</v>
      </c>
      <c r="I180" s="112">
        <v>16</v>
      </c>
      <c r="J180" s="38"/>
      <c r="K180" s="38"/>
      <c r="L180" s="38"/>
      <c r="M180" s="38"/>
      <c r="N180" s="38"/>
      <c r="O180" s="88"/>
      <c r="Q180" s="78"/>
      <c r="R180" s="78"/>
      <c r="S180" s="78"/>
      <c r="T180" s="78"/>
    </row>
    <row r="181" spans="1:20">
      <c r="A181" s="2657"/>
      <c r="B181" s="2660"/>
      <c r="C181" s="110">
        <v>2017</v>
      </c>
      <c r="D181" s="37">
        <v>1</v>
      </c>
      <c r="E181" s="38">
        <v>2</v>
      </c>
      <c r="F181" s="38"/>
      <c r="G181" s="284">
        <f t="shared" si="19"/>
        <v>3</v>
      </c>
      <c r="H181" s="411">
        <v>5</v>
      </c>
      <c r="I181" s="112">
        <v>3</v>
      </c>
      <c r="J181" s="38"/>
      <c r="K181" s="38"/>
      <c r="L181" s="38"/>
      <c r="M181" s="38"/>
      <c r="N181" s="38"/>
      <c r="O181" s="88"/>
      <c r="Q181" s="78"/>
      <c r="R181" s="78"/>
      <c r="S181" s="78"/>
      <c r="T181" s="78"/>
    </row>
    <row r="182" spans="1:20">
      <c r="A182" s="2657"/>
      <c r="B182" s="2660"/>
      <c r="C182" s="110">
        <v>2018</v>
      </c>
      <c r="D182" s="37"/>
      <c r="E182" s="38"/>
      <c r="F182" s="38"/>
      <c r="G182" s="284">
        <f t="shared" si="19"/>
        <v>0</v>
      </c>
      <c r="H182" s="411"/>
      <c r="I182" s="112"/>
      <c r="J182" s="38"/>
      <c r="K182" s="38"/>
      <c r="L182" s="38"/>
      <c r="M182" s="38"/>
      <c r="N182" s="38"/>
      <c r="O182" s="88"/>
      <c r="Q182" s="78"/>
      <c r="R182" s="78"/>
      <c r="S182" s="78"/>
      <c r="T182" s="78"/>
    </row>
    <row r="183" spans="1:20">
      <c r="A183" s="2657"/>
      <c r="B183" s="2660"/>
      <c r="C183" s="110">
        <v>2019</v>
      </c>
      <c r="D183" s="37"/>
      <c r="E183" s="38"/>
      <c r="F183" s="38"/>
      <c r="G183" s="284">
        <f t="shared" si="19"/>
        <v>0</v>
      </c>
      <c r="H183" s="411"/>
      <c r="I183" s="112"/>
      <c r="J183" s="38"/>
      <c r="K183" s="38"/>
      <c r="L183" s="38"/>
      <c r="M183" s="38"/>
      <c r="N183" s="38"/>
      <c r="O183" s="88"/>
      <c r="Q183" s="78"/>
      <c r="R183" s="78"/>
      <c r="S183" s="78"/>
      <c r="T183" s="78"/>
    </row>
    <row r="184" spans="1:20">
      <c r="A184" s="2657"/>
      <c r="B184" s="2660"/>
      <c r="C184" s="110">
        <v>2020</v>
      </c>
      <c r="D184" s="37"/>
      <c r="E184" s="38"/>
      <c r="F184" s="38"/>
      <c r="G184" s="284">
        <f t="shared" si="19"/>
        <v>0</v>
      </c>
      <c r="H184" s="411"/>
      <c r="I184" s="112"/>
      <c r="J184" s="38"/>
      <c r="K184" s="38"/>
      <c r="L184" s="38"/>
      <c r="M184" s="38"/>
      <c r="N184" s="38"/>
      <c r="O184" s="88"/>
      <c r="Q184" s="78"/>
      <c r="R184" s="78"/>
      <c r="S184" s="78"/>
      <c r="T184" s="78"/>
    </row>
    <row r="185" spans="1:20" ht="45" customHeight="1" thickBot="1">
      <c r="A185" s="2658"/>
      <c r="B185" s="2661"/>
      <c r="C185" s="113" t="s">
        <v>13</v>
      </c>
      <c r="D185" s="139">
        <f>SUM(D178:D184)</f>
        <v>14</v>
      </c>
      <c r="E185" s="116">
        <f>SUM(E178:E184)</f>
        <v>4</v>
      </c>
      <c r="F185" s="116">
        <f>SUM(F178:F184)</f>
        <v>2</v>
      </c>
      <c r="G185" s="220">
        <f t="shared" ref="G185:O185" si="20">SUM(G178:G184)</f>
        <v>20</v>
      </c>
      <c r="H185" s="285">
        <f t="shared" si="20"/>
        <v>22</v>
      </c>
      <c r="I185" s="115">
        <f t="shared" si="20"/>
        <v>20</v>
      </c>
      <c r="J185" s="116">
        <f t="shared" si="20"/>
        <v>0</v>
      </c>
      <c r="K185" s="116">
        <f t="shared" si="20"/>
        <v>0</v>
      </c>
      <c r="L185" s="116">
        <f t="shared" si="20"/>
        <v>0</v>
      </c>
      <c r="M185" s="116">
        <f t="shared" si="20"/>
        <v>0</v>
      </c>
      <c r="N185" s="116">
        <f t="shared" si="20"/>
        <v>0</v>
      </c>
      <c r="O185" s="117">
        <f t="shared" si="20"/>
        <v>0</v>
      </c>
      <c r="Q185" s="78"/>
      <c r="R185" s="78"/>
      <c r="S185" s="78"/>
      <c r="T185" s="78"/>
    </row>
    <row r="186" spans="1:20" ht="33" customHeight="1" thickBot="1"/>
    <row r="187" spans="1:20" ht="19.5" customHeight="1">
      <c r="A187" s="1861" t="s">
        <v>137</v>
      </c>
      <c r="B187" s="2037" t="s">
        <v>182</v>
      </c>
      <c r="C187" s="1865" t="s">
        <v>9</v>
      </c>
      <c r="D187" s="1867" t="s">
        <v>138</v>
      </c>
      <c r="E187" s="2038"/>
      <c r="F187" s="2038"/>
      <c r="G187" s="1869"/>
      <c r="H187" s="1870" t="s">
        <v>139</v>
      </c>
      <c r="I187" s="1865"/>
      <c r="J187" s="1865"/>
      <c r="K187" s="1865"/>
      <c r="L187" s="1871"/>
    </row>
    <row r="188" spans="1:20"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20" ht="15" customHeight="1">
      <c r="A189" s="2647">
        <v>372</v>
      </c>
      <c r="B189" s="1977" t="s">
        <v>547</v>
      </c>
      <c r="C189" s="290">
        <v>2014</v>
      </c>
      <c r="D189" s="133"/>
      <c r="E189" s="109"/>
      <c r="F189" s="109"/>
      <c r="G189" s="291">
        <f>SUM(D189:F189)</f>
        <v>0</v>
      </c>
      <c r="H189" s="108"/>
      <c r="I189" s="109"/>
      <c r="J189" s="109"/>
      <c r="K189" s="109"/>
      <c r="L189" s="134"/>
    </row>
    <row r="190" spans="1:20">
      <c r="A190" s="2648"/>
      <c r="B190" s="1855"/>
      <c r="C190" s="73">
        <v>2015</v>
      </c>
      <c r="D190" s="37">
        <v>70</v>
      </c>
      <c r="E190" s="38"/>
      <c r="F190" s="38"/>
      <c r="G190" s="291">
        <f t="shared" ref="G190:G195" si="21">SUM(D190:F190)</f>
        <v>70</v>
      </c>
      <c r="H190" s="112"/>
      <c r="I190" s="38"/>
      <c r="J190" s="38">
        <v>15</v>
      </c>
      <c r="K190" s="38">
        <v>5</v>
      </c>
      <c r="L190" s="88">
        <v>50</v>
      </c>
    </row>
    <row r="191" spans="1:20">
      <c r="A191" s="2648"/>
      <c r="B191" s="1855"/>
      <c r="C191" s="73">
        <v>2016</v>
      </c>
      <c r="D191" s="37">
        <v>140</v>
      </c>
      <c r="E191" s="38">
        <v>40</v>
      </c>
      <c r="F191" s="38"/>
      <c r="G191" s="291">
        <f t="shared" si="21"/>
        <v>180</v>
      </c>
      <c r="H191" s="112"/>
      <c r="I191" s="38"/>
      <c r="J191" s="38">
        <v>55</v>
      </c>
      <c r="K191" s="38">
        <v>5</v>
      </c>
      <c r="L191" s="59">
        <v>120</v>
      </c>
      <c r="M191" s="1723"/>
      <c r="N191" s="1724"/>
      <c r="O191" s="1724"/>
      <c r="P191" s="1724"/>
      <c r="Q191" s="1724"/>
      <c r="R191" s="1725"/>
    </row>
    <row r="192" spans="1:20">
      <c r="A192" s="2648"/>
      <c r="B192" s="1855"/>
      <c r="C192" s="73">
        <v>2017</v>
      </c>
      <c r="D192" s="37">
        <v>50</v>
      </c>
      <c r="E192" s="38">
        <v>72</v>
      </c>
      <c r="F192" s="38"/>
      <c r="G192" s="291">
        <f t="shared" si="21"/>
        <v>122</v>
      </c>
      <c r="H192" s="112"/>
      <c r="I192" s="38"/>
      <c r="J192" s="38">
        <v>40</v>
      </c>
      <c r="K192" s="38">
        <v>12</v>
      </c>
      <c r="L192" s="59">
        <v>70</v>
      </c>
      <c r="M192" s="1723"/>
      <c r="N192" s="2650"/>
      <c r="O192" s="2650"/>
      <c r="P192" s="2650"/>
      <c r="Q192" s="2650"/>
      <c r="R192" s="2651"/>
    </row>
    <row r="193" spans="1:14">
      <c r="A193" s="2648"/>
      <c r="B193" s="1855"/>
      <c r="C193" s="73">
        <v>2018</v>
      </c>
      <c r="D193" s="37"/>
      <c r="E193" s="38"/>
      <c r="F193" s="38"/>
      <c r="G193" s="291">
        <f t="shared" si="21"/>
        <v>0</v>
      </c>
      <c r="H193" s="112"/>
      <c r="I193" s="38"/>
      <c r="J193" s="38"/>
      <c r="K193" s="38"/>
      <c r="L193" s="88"/>
    </row>
    <row r="194" spans="1:14">
      <c r="A194" s="2648"/>
      <c r="B194" s="1855"/>
      <c r="C194" s="73">
        <v>2019</v>
      </c>
      <c r="D194" s="37"/>
      <c r="E194" s="38"/>
      <c r="F194" s="38"/>
      <c r="G194" s="291">
        <f t="shared" si="21"/>
        <v>0</v>
      </c>
      <c r="H194" s="112"/>
      <c r="I194" s="38"/>
      <c r="J194" s="38"/>
      <c r="K194" s="38"/>
      <c r="L194" s="88"/>
    </row>
    <row r="195" spans="1:14">
      <c r="A195" s="2648"/>
      <c r="B195" s="1855"/>
      <c r="C195" s="73">
        <v>2020</v>
      </c>
      <c r="D195" s="37"/>
      <c r="E195" s="38"/>
      <c r="F195" s="38"/>
      <c r="G195" s="291">
        <f t="shared" si="21"/>
        <v>0</v>
      </c>
      <c r="H195" s="112"/>
      <c r="I195" s="38"/>
      <c r="J195" s="38"/>
      <c r="K195" s="38"/>
      <c r="L195" s="88"/>
    </row>
    <row r="196" spans="1:14" ht="15.75" thickBot="1">
      <c r="A196" s="2649"/>
      <c r="B196" s="1857"/>
      <c r="C196" s="136" t="s">
        <v>13</v>
      </c>
      <c r="D196" s="139">
        <f t="shared" ref="D196:L196" si="22">SUM(D189:D195)</f>
        <v>260</v>
      </c>
      <c r="E196" s="116">
        <f t="shared" si="22"/>
        <v>112</v>
      </c>
      <c r="F196" s="116">
        <f t="shared" si="22"/>
        <v>0</v>
      </c>
      <c r="G196" s="292">
        <f t="shared" si="22"/>
        <v>372</v>
      </c>
      <c r="H196" s="115">
        <f t="shared" si="22"/>
        <v>0</v>
      </c>
      <c r="I196" s="116">
        <f t="shared" si="22"/>
        <v>0</v>
      </c>
      <c r="J196" s="116">
        <f t="shared" si="22"/>
        <v>110</v>
      </c>
      <c r="K196" s="116">
        <f t="shared" si="22"/>
        <v>22</v>
      </c>
      <c r="L196" s="117">
        <f t="shared" si="22"/>
        <v>240</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569" t="s">
        <v>150</v>
      </c>
      <c r="B201" s="417" t="s">
        <v>182</v>
      </c>
      <c r="C201" s="298" t="s">
        <v>9</v>
      </c>
      <c r="D201" s="299" t="s">
        <v>151</v>
      </c>
      <c r="E201" s="300" t="s">
        <v>152</v>
      </c>
      <c r="F201" s="300" t="s">
        <v>153</v>
      </c>
      <c r="G201" s="298" t="s">
        <v>154</v>
      </c>
      <c r="H201" s="570" t="s">
        <v>155</v>
      </c>
      <c r="I201" s="302" t="s">
        <v>156</v>
      </c>
      <c r="J201" s="303" t="s">
        <v>157</v>
      </c>
      <c r="K201" s="300" t="s">
        <v>158</v>
      </c>
      <c r="L201" s="304" t="s">
        <v>159</v>
      </c>
    </row>
    <row r="202" spans="1:14" ht="15" customHeight="1">
      <c r="A202" s="2652">
        <v>0</v>
      </c>
      <c r="B202" s="2653"/>
      <c r="C202" s="72">
        <v>2014</v>
      </c>
      <c r="D202" s="30"/>
      <c r="E202" s="31"/>
      <c r="F202" s="31"/>
      <c r="G202" s="29"/>
      <c r="H202" s="305"/>
      <c r="I202" s="306"/>
      <c r="J202" s="307"/>
      <c r="K202" s="31"/>
      <c r="L202" s="34"/>
    </row>
    <row r="203" spans="1:14">
      <c r="A203" s="2652"/>
      <c r="B203" s="2653"/>
      <c r="C203" s="73">
        <v>2015</v>
      </c>
      <c r="D203" s="37"/>
      <c r="E203" s="38"/>
      <c r="F203" s="38"/>
      <c r="G203" s="36"/>
      <c r="H203" s="308"/>
      <c r="I203" s="309"/>
      <c r="J203" s="310"/>
      <c r="K203" s="38"/>
      <c r="L203" s="88"/>
    </row>
    <row r="204" spans="1:14">
      <c r="A204" s="2652"/>
      <c r="B204" s="2653"/>
      <c r="C204" s="73">
        <v>2016</v>
      </c>
      <c r="D204" s="37"/>
      <c r="E204" s="38"/>
      <c r="F204" s="38"/>
      <c r="G204" s="36"/>
      <c r="H204" s="308"/>
      <c r="I204" s="309"/>
      <c r="J204" s="310"/>
      <c r="K204" s="38"/>
      <c r="L204" s="88"/>
    </row>
    <row r="205" spans="1:14">
      <c r="A205" s="2652"/>
      <c r="B205" s="2653"/>
      <c r="C205" s="73">
        <v>2017</v>
      </c>
      <c r="D205" s="37"/>
      <c r="E205" s="38"/>
      <c r="F205" s="38"/>
      <c r="G205" s="36"/>
      <c r="H205" s="308"/>
      <c r="I205" s="309"/>
      <c r="J205" s="310"/>
      <c r="K205" s="38"/>
      <c r="L205" s="88"/>
    </row>
    <row r="206" spans="1:14">
      <c r="A206" s="2652"/>
      <c r="B206" s="2653"/>
      <c r="C206" s="73">
        <v>2018</v>
      </c>
      <c r="D206" s="37"/>
      <c r="E206" s="38"/>
      <c r="F206" s="38"/>
      <c r="G206" s="36"/>
      <c r="H206" s="308"/>
      <c r="I206" s="309"/>
      <c r="J206" s="310"/>
      <c r="K206" s="38"/>
      <c r="L206" s="88"/>
    </row>
    <row r="207" spans="1:14">
      <c r="A207" s="2652"/>
      <c r="B207" s="2653"/>
      <c r="C207" s="73">
        <v>2019</v>
      </c>
      <c r="D207" s="37"/>
      <c r="E207" s="38"/>
      <c r="F207" s="38"/>
      <c r="G207" s="36"/>
      <c r="H207" s="308"/>
      <c r="I207" s="309"/>
      <c r="J207" s="310"/>
      <c r="K207" s="38"/>
      <c r="L207" s="88"/>
    </row>
    <row r="208" spans="1:14">
      <c r="A208" s="2652"/>
      <c r="B208" s="2653"/>
      <c r="C208" s="73">
        <v>2020</v>
      </c>
      <c r="D208" s="1533"/>
      <c r="E208" s="312"/>
      <c r="F208" s="312"/>
      <c r="G208" s="313"/>
      <c r="H208" s="314"/>
      <c r="I208" s="315"/>
      <c r="J208" s="316"/>
      <c r="K208" s="312"/>
      <c r="L208" s="317"/>
    </row>
    <row r="209" spans="1:12" ht="20.25" customHeight="1" thickBot="1">
      <c r="A209" s="2654"/>
      <c r="B209" s="2655"/>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0</v>
      </c>
      <c r="K209" s="139">
        <f t="shared" si="23"/>
        <v>0</v>
      </c>
      <c r="L209" s="139">
        <f t="shared" si="23"/>
        <v>0</v>
      </c>
    </row>
    <row r="211" spans="1:12" ht="15.75" thickBot="1"/>
    <row r="212" spans="1:12" ht="29.25">
      <c r="A212" s="571" t="s">
        <v>161</v>
      </c>
      <c r="B212" s="322" t="s">
        <v>162</v>
      </c>
      <c r="C212" s="323">
        <v>2014</v>
      </c>
      <c r="D212" s="324">
        <v>2015</v>
      </c>
      <c r="E212" s="324">
        <v>2016</v>
      </c>
      <c r="F212" s="324">
        <v>2017</v>
      </c>
      <c r="G212" s="324">
        <v>2018</v>
      </c>
      <c r="H212" s="324">
        <v>2019</v>
      </c>
      <c r="I212" s="325">
        <v>2020</v>
      </c>
    </row>
    <row r="213" spans="1:12" ht="15" customHeight="1">
      <c r="A213" t="s">
        <v>163</v>
      </c>
      <c r="B213" s="1973" t="s">
        <v>548</v>
      </c>
      <c r="C213" s="72"/>
      <c r="D213" s="135">
        <v>7724.25</v>
      </c>
      <c r="E213" s="135">
        <v>267516.40999999997</v>
      </c>
      <c r="F213" s="1712">
        <f>SUM(F214:F217)</f>
        <v>95431.73000000001</v>
      </c>
      <c r="G213" s="135"/>
      <c r="H213" s="135"/>
      <c r="I213" s="326"/>
    </row>
    <row r="214" spans="1:12">
      <c r="A214" t="s">
        <v>164</v>
      </c>
      <c r="B214" s="1974"/>
      <c r="C214" s="72"/>
      <c r="D214" s="135">
        <v>0</v>
      </c>
      <c r="E214" s="135">
        <v>182485.99</v>
      </c>
      <c r="F214" s="1712">
        <v>1507.88</v>
      </c>
      <c r="G214" s="135"/>
      <c r="H214" s="135"/>
      <c r="I214" s="326"/>
    </row>
    <row r="215" spans="1:12">
      <c r="A215" t="s">
        <v>165</v>
      </c>
      <c r="B215" s="1974"/>
      <c r="C215" s="72"/>
      <c r="D215" s="135">
        <v>0</v>
      </c>
      <c r="E215" s="135">
        <v>0</v>
      </c>
      <c r="F215" s="1712"/>
      <c r="G215" s="135"/>
      <c r="H215" s="135"/>
      <c r="I215" s="326"/>
    </row>
    <row r="216" spans="1:12">
      <c r="A216" t="s">
        <v>166</v>
      </c>
      <c r="B216" s="1974"/>
      <c r="C216" s="72"/>
      <c r="D216" s="135">
        <v>0</v>
      </c>
      <c r="E216" s="135">
        <v>0</v>
      </c>
      <c r="F216" s="1712"/>
      <c r="G216" s="135"/>
      <c r="H216" s="135"/>
      <c r="I216" s="326"/>
    </row>
    <row r="217" spans="1:12">
      <c r="A217" t="s">
        <v>167</v>
      </c>
      <c r="B217" s="1974"/>
      <c r="C217" s="72"/>
      <c r="D217" s="135">
        <v>7724.25</v>
      </c>
      <c r="E217" s="135">
        <v>85030.42</v>
      </c>
      <c r="F217" s="1712">
        <v>93923.85</v>
      </c>
      <c r="G217" s="135"/>
      <c r="H217" s="135"/>
      <c r="I217" s="326"/>
    </row>
    <row r="218" spans="1:12" ht="30">
      <c r="A218" s="56" t="s">
        <v>168</v>
      </c>
      <c r="B218" s="1974"/>
      <c r="C218" s="72"/>
      <c r="D218" s="135">
        <v>98562.86</v>
      </c>
      <c r="E218" s="135">
        <v>106741.33</v>
      </c>
      <c r="F218" s="1712">
        <v>69372.97</v>
      </c>
      <c r="G218" s="135"/>
      <c r="H218" s="135"/>
      <c r="I218" s="326"/>
    </row>
    <row r="219" spans="1:12" ht="80.25" customHeight="1" thickBot="1">
      <c r="A219" s="1532"/>
      <c r="B219" s="1975"/>
      <c r="C219" s="42" t="s">
        <v>13</v>
      </c>
      <c r="D219" s="333">
        <f>SUM(D214:D218)</f>
        <v>106287.11</v>
      </c>
      <c r="E219" s="333">
        <f t="shared" ref="E219:I219" si="24">SUM(E214:E218)</f>
        <v>374257.74</v>
      </c>
      <c r="F219" s="333">
        <f t="shared" si="24"/>
        <v>164804.70000000001</v>
      </c>
      <c r="G219" s="333">
        <f t="shared" si="24"/>
        <v>0</v>
      </c>
      <c r="H219" s="333">
        <f t="shared" si="24"/>
        <v>0</v>
      </c>
      <c r="I219" s="333">
        <f t="shared" si="24"/>
        <v>0</v>
      </c>
    </row>
    <row r="227" spans="1:1">
      <c r="A227" s="56"/>
    </row>
  </sheetData>
  <mergeCells count="67">
    <mergeCell ref="D26:G26"/>
    <mergeCell ref="B1:J1"/>
    <mergeCell ref="F3:O3"/>
    <mergeCell ref="A4:O10"/>
    <mergeCell ref="D15:G15"/>
    <mergeCell ref="A17:B24"/>
    <mergeCell ref="A28:A35"/>
    <mergeCell ref="B28:B35"/>
    <mergeCell ref="A40:A47"/>
    <mergeCell ref="B40:B47"/>
    <mergeCell ref="A50:A58"/>
    <mergeCell ref="B50:B58"/>
    <mergeCell ref="C60:C61"/>
    <mergeCell ref="D60:D61"/>
    <mergeCell ref="A62:A69"/>
    <mergeCell ref="B62:B69"/>
    <mergeCell ref="C107:C108"/>
    <mergeCell ref="D107:D108"/>
    <mergeCell ref="A85:A92"/>
    <mergeCell ref="B85:B92"/>
    <mergeCell ref="A96:A97"/>
    <mergeCell ref="B96:B97"/>
    <mergeCell ref="C96:C97"/>
    <mergeCell ref="D96:E96"/>
    <mergeCell ref="A72:B79"/>
    <mergeCell ref="A60:A61"/>
    <mergeCell ref="A98:A105"/>
    <mergeCell ref="B98:B105"/>
    <mergeCell ref="A107:A108"/>
    <mergeCell ref="B107:B108"/>
    <mergeCell ref="A109:B116"/>
    <mergeCell ref="C118:C119"/>
    <mergeCell ref="D118:D119"/>
    <mergeCell ref="A118:A119"/>
    <mergeCell ref="B118:B119"/>
    <mergeCell ref="A129:A130"/>
    <mergeCell ref="B129:B130"/>
    <mergeCell ref="A131:A137"/>
    <mergeCell ref="B131:B137"/>
    <mergeCell ref="A120:B127"/>
    <mergeCell ref="A142:A143"/>
    <mergeCell ref="B142:B143"/>
    <mergeCell ref="C142:C143"/>
    <mergeCell ref="J142:N142"/>
    <mergeCell ref="A144:B151"/>
    <mergeCell ref="A153:A154"/>
    <mergeCell ref="B153:B154"/>
    <mergeCell ref="C153:C154"/>
    <mergeCell ref="A155:B162"/>
    <mergeCell ref="A165:B172"/>
    <mergeCell ref="A176:A177"/>
    <mergeCell ref="B176:B177"/>
    <mergeCell ref="C176:C177"/>
    <mergeCell ref="Q176:T176"/>
    <mergeCell ref="A178:A185"/>
    <mergeCell ref="B178:B185"/>
    <mergeCell ref="I176:O176"/>
    <mergeCell ref="A187:A188"/>
    <mergeCell ref="B187:B188"/>
    <mergeCell ref="C187:C188"/>
    <mergeCell ref="D187:G187"/>
    <mergeCell ref="H187:L187"/>
    <mergeCell ref="A189:A196"/>
    <mergeCell ref="B189:B196"/>
    <mergeCell ref="N192:R192"/>
    <mergeCell ref="A202:B209"/>
    <mergeCell ref="B213:B219"/>
  </mergeCells>
  <pageMargins left="0.7" right="0.7" top="0.75" bottom="0.75" header="0.3" footer="0.3"/>
  <legacy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3"/>
  <sheetViews>
    <sheetView topLeftCell="A10" workbookViewId="0">
      <selection activeCell="D219" sqref="D219:F219"/>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16" width="17.42578125" customWidth="1"/>
    <col min="17" max="17" width="30.85546875" customWidth="1"/>
    <col min="18" max="25" width="13.7109375" customWidth="1"/>
  </cols>
  <sheetData>
    <row r="1" spans="1:25" s="1" customFormat="1" ht="31.5">
      <c r="A1" s="334" t="s">
        <v>0</v>
      </c>
      <c r="B1" s="1943" t="s">
        <v>549</v>
      </c>
      <c r="C1" s="1944"/>
      <c r="D1" s="1944"/>
      <c r="E1" s="1944"/>
      <c r="F1" s="1944"/>
    </row>
    <row r="2" spans="1:25" s="1" customFormat="1" ht="20.100000000000001" customHeight="1" thickBot="1"/>
    <row r="3" spans="1:25" s="4" customFormat="1" ht="20.100000000000001" customHeight="1">
      <c r="A3" s="1536" t="s">
        <v>2</v>
      </c>
      <c r="B3" s="1585"/>
      <c r="C3" s="1585"/>
      <c r="D3" s="1585"/>
      <c r="E3" s="1585"/>
      <c r="F3" s="2418"/>
      <c r="G3" s="2418"/>
      <c r="H3" s="2418"/>
      <c r="I3" s="2418"/>
      <c r="J3" s="2418"/>
      <c r="K3" s="2418"/>
      <c r="L3" s="2418"/>
      <c r="M3" s="2418"/>
      <c r="N3" s="2418"/>
      <c r="O3" s="2522"/>
    </row>
    <row r="4" spans="1:25" s="4" customFormat="1" ht="20.100000000000001" customHeight="1">
      <c r="A4" s="2420" t="s">
        <v>170</v>
      </c>
      <c r="B4" s="1948"/>
      <c r="C4" s="1948"/>
      <c r="D4" s="1948"/>
      <c r="E4" s="1948"/>
      <c r="F4" s="1948"/>
      <c r="G4" s="1948"/>
      <c r="H4" s="1948"/>
      <c r="I4" s="1948"/>
      <c r="J4" s="1948"/>
      <c r="K4" s="1948"/>
      <c r="L4" s="1948"/>
      <c r="M4" s="1948"/>
      <c r="N4" s="1948"/>
      <c r="O4" s="1949"/>
    </row>
    <row r="5" spans="1:25" s="4" customFormat="1" ht="20.100000000000001" customHeight="1">
      <c r="A5" s="2420"/>
      <c r="B5" s="1948"/>
      <c r="C5" s="1948"/>
      <c r="D5" s="1948"/>
      <c r="E5" s="1948"/>
      <c r="F5" s="1948"/>
      <c r="G5" s="1948"/>
      <c r="H5" s="1948"/>
      <c r="I5" s="1948"/>
      <c r="J5" s="1948"/>
      <c r="K5" s="1948"/>
      <c r="L5" s="1948"/>
      <c r="M5" s="1948"/>
      <c r="N5" s="1948"/>
      <c r="O5" s="1949"/>
    </row>
    <row r="6" spans="1:25" s="4" customFormat="1" ht="20.100000000000001" customHeight="1">
      <c r="A6" s="2420"/>
      <c r="B6" s="1948"/>
      <c r="C6" s="1948"/>
      <c r="D6" s="1948"/>
      <c r="E6" s="1948"/>
      <c r="F6" s="1948"/>
      <c r="G6" s="1948"/>
      <c r="H6" s="1948"/>
      <c r="I6" s="1948"/>
      <c r="J6" s="1948"/>
      <c r="K6" s="1948"/>
      <c r="L6" s="1948"/>
      <c r="M6" s="1948"/>
      <c r="N6" s="1948"/>
      <c r="O6" s="1949"/>
    </row>
    <row r="7" spans="1:25" s="4" customFormat="1" ht="20.100000000000001" customHeight="1">
      <c r="A7" s="2420"/>
      <c r="B7" s="1948"/>
      <c r="C7" s="1948"/>
      <c r="D7" s="1948"/>
      <c r="E7" s="1948"/>
      <c r="F7" s="1948"/>
      <c r="G7" s="1948"/>
      <c r="H7" s="1948"/>
      <c r="I7" s="1948"/>
      <c r="J7" s="1948"/>
      <c r="K7" s="1948"/>
      <c r="L7" s="1948"/>
      <c r="M7" s="1948"/>
      <c r="N7" s="1948"/>
      <c r="O7" s="1949"/>
    </row>
    <row r="8" spans="1:25" s="4" customFormat="1" ht="20.100000000000001" customHeight="1">
      <c r="A8" s="2420"/>
      <c r="B8" s="1948"/>
      <c r="C8" s="1948"/>
      <c r="D8" s="1948"/>
      <c r="E8" s="1948"/>
      <c r="F8" s="1948"/>
      <c r="G8" s="1948"/>
      <c r="H8" s="1948"/>
      <c r="I8" s="1948"/>
      <c r="J8" s="1948"/>
      <c r="K8" s="1948"/>
      <c r="L8" s="1948"/>
      <c r="M8" s="1948"/>
      <c r="N8" s="1948"/>
      <c r="O8" s="1949"/>
    </row>
    <row r="9" spans="1:25" s="4" customFormat="1" ht="20.100000000000001" customHeight="1">
      <c r="A9" s="2420"/>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515"/>
      <c r="B15" s="516"/>
      <c r="C15" s="10"/>
      <c r="D15" s="1953" t="s">
        <v>5</v>
      </c>
      <c r="E15" s="2012"/>
      <c r="F15" s="2012"/>
      <c r="G15" s="2012"/>
      <c r="H15" s="11"/>
      <c r="I15" s="12" t="s">
        <v>6</v>
      </c>
      <c r="J15" s="13"/>
      <c r="K15" s="13"/>
      <c r="L15" s="13"/>
      <c r="M15" s="13"/>
      <c r="N15" s="13"/>
      <c r="O15" s="10"/>
      <c r="P15" s="1"/>
      <c r="Q15" s="1"/>
      <c r="R15" s="1"/>
      <c r="S15" s="1"/>
      <c r="T15" s="1"/>
      <c r="U15" s="1"/>
      <c r="V15" s="1"/>
      <c r="W15" s="1"/>
      <c r="X15" s="1"/>
      <c r="Y15" s="16"/>
    </row>
    <row r="16" spans="1:25" s="56" customFormat="1" ht="129" customHeight="1">
      <c r="A16" s="1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0" t="s">
        <v>21</v>
      </c>
      <c r="P16"/>
      <c r="Q16"/>
      <c r="R16"/>
      <c r="S16"/>
      <c r="T16"/>
      <c r="U16"/>
      <c r="V16"/>
      <c r="W16"/>
      <c r="X16"/>
      <c r="Y16" s="28"/>
    </row>
    <row r="17" spans="1:25" ht="15" customHeight="1">
      <c r="A17" s="1874"/>
      <c r="B17" s="1855"/>
      <c r="C17" s="29">
        <v>2014</v>
      </c>
      <c r="D17" s="30"/>
      <c r="E17" s="31"/>
      <c r="F17" s="31"/>
      <c r="G17" s="32">
        <f t="shared" ref="G17:G23" si="0">SUM(D17:F17)</f>
        <v>0</v>
      </c>
      <c r="H17" s="33"/>
      <c r="I17" s="31"/>
      <c r="J17" s="31"/>
      <c r="K17" s="31"/>
      <c r="L17" s="31"/>
      <c r="M17" s="31"/>
      <c r="N17" s="31"/>
      <c r="O17" s="29"/>
      <c r="Y17" s="35"/>
    </row>
    <row r="18" spans="1:25">
      <c r="A18" s="1854"/>
      <c r="B18" s="1855"/>
      <c r="C18" s="36">
        <v>2015</v>
      </c>
      <c r="D18" s="37">
        <v>1</v>
      </c>
      <c r="E18" s="38"/>
      <c r="F18" s="38"/>
      <c r="G18" s="32">
        <f t="shared" si="0"/>
        <v>1</v>
      </c>
      <c r="H18" s="39">
        <v>1</v>
      </c>
      <c r="I18" s="38"/>
      <c r="J18" s="38"/>
      <c r="K18" s="38"/>
      <c r="L18" s="38"/>
      <c r="M18" s="38"/>
      <c r="N18" s="38"/>
      <c r="O18" s="1726"/>
      <c r="P18" s="7"/>
      <c r="Q18" s="7"/>
      <c r="R18" s="7"/>
      <c r="S18" s="7"/>
      <c r="T18" s="7"/>
      <c r="U18" s="7"/>
      <c r="V18" s="7"/>
      <c r="W18" s="7"/>
      <c r="X18" s="7"/>
      <c r="Y18" s="35"/>
    </row>
    <row r="19" spans="1:25">
      <c r="A19" s="1854"/>
      <c r="B19" s="1855"/>
      <c r="C19" s="36">
        <v>2016</v>
      </c>
      <c r="D19" s="37">
        <v>5</v>
      </c>
      <c r="E19" s="38"/>
      <c r="F19" s="38"/>
      <c r="G19" s="32">
        <f t="shared" si="0"/>
        <v>5</v>
      </c>
      <c r="H19" s="39">
        <v>5</v>
      </c>
      <c r="I19" s="38"/>
      <c r="J19" s="38"/>
      <c r="K19" s="38"/>
      <c r="L19" s="38"/>
      <c r="M19" s="38"/>
      <c r="N19" s="38"/>
      <c r="O19" s="1726"/>
      <c r="Y19" s="35"/>
    </row>
    <row r="20" spans="1:25" ht="31.5">
      <c r="A20" s="1854"/>
      <c r="B20" s="1855"/>
      <c r="C20" s="36">
        <v>2017</v>
      </c>
      <c r="D20" s="37">
        <v>5</v>
      </c>
      <c r="E20" s="38"/>
      <c r="F20" s="38"/>
      <c r="G20" s="32">
        <f t="shared" si="0"/>
        <v>5</v>
      </c>
      <c r="H20" s="39">
        <v>5</v>
      </c>
      <c r="I20" s="38"/>
      <c r="J20" s="38"/>
      <c r="K20" s="38"/>
      <c r="L20" s="38"/>
      <c r="M20" s="38"/>
      <c r="N20" s="38"/>
      <c r="O20" s="1726"/>
      <c r="P20" s="1"/>
      <c r="Q20" s="1"/>
      <c r="R20" s="1"/>
      <c r="S20" s="1"/>
      <c r="T20" s="1"/>
      <c r="U20" s="1"/>
      <c r="V20" s="1"/>
      <c r="W20" s="1"/>
      <c r="X20" s="1"/>
      <c r="Y20" s="35"/>
    </row>
    <row r="21" spans="1:25">
      <c r="A21" s="1854"/>
      <c r="B21" s="1855"/>
      <c r="C21" s="36">
        <v>2018</v>
      </c>
      <c r="D21" s="37"/>
      <c r="E21" s="38"/>
      <c r="F21" s="38"/>
      <c r="G21" s="32">
        <f t="shared" si="0"/>
        <v>0</v>
      </c>
      <c r="H21" s="39"/>
      <c r="I21" s="38"/>
      <c r="J21" s="38"/>
      <c r="K21" s="38"/>
      <c r="L21" s="38"/>
      <c r="M21" s="38"/>
      <c r="N21" s="38"/>
      <c r="O21" s="1726"/>
      <c r="Y21" s="35"/>
    </row>
    <row r="22" spans="1:25">
      <c r="A22" s="1854"/>
      <c r="B22" s="1855"/>
      <c r="C22" s="41">
        <v>2019</v>
      </c>
      <c r="D22" s="37"/>
      <c r="E22" s="38"/>
      <c r="F22" s="38"/>
      <c r="G22" s="32">
        <f>SUM(D22:F22)</f>
        <v>0</v>
      </c>
      <c r="H22" s="39"/>
      <c r="I22" s="38"/>
      <c r="J22" s="38"/>
      <c r="K22" s="38"/>
      <c r="L22" s="38"/>
      <c r="M22" s="38"/>
      <c r="N22" s="38"/>
      <c r="O22" s="1726"/>
      <c r="Y22" s="35"/>
    </row>
    <row r="23" spans="1:25">
      <c r="A23" s="1854"/>
      <c r="B23" s="1855"/>
      <c r="C23" s="36">
        <v>2020</v>
      </c>
      <c r="D23" s="37"/>
      <c r="E23" s="38"/>
      <c r="F23" s="38"/>
      <c r="G23" s="32">
        <f t="shared" si="0"/>
        <v>0</v>
      </c>
      <c r="H23" s="39"/>
      <c r="I23" s="38"/>
      <c r="J23" s="38"/>
      <c r="K23" s="38"/>
      <c r="L23" s="38"/>
      <c r="M23" s="38"/>
      <c r="N23" s="38"/>
      <c r="O23" s="1726"/>
      <c r="P23" s="7"/>
      <c r="Q23" s="7"/>
      <c r="R23" s="7"/>
      <c r="S23" s="7"/>
      <c r="T23" s="7"/>
      <c r="U23" s="7"/>
      <c r="V23" s="7"/>
      <c r="W23" s="7"/>
      <c r="X23" s="7"/>
      <c r="Y23" s="35"/>
    </row>
    <row r="24" spans="1:25" ht="19.5" customHeight="1" thickBot="1">
      <c r="A24" s="1856"/>
      <c r="B24" s="1857"/>
      <c r="C24" s="42" t="s">
        <v>13</v>
      </c>
      <c r="D24" s="43">
        <f>SUM(D17:D23)</f>
        <v>11</v>
      </c>
      <c r="E24" s="44">
        <f>SUM(E17:E23)</f>
        <v>0</v>
      </c>
      <c r="F24" s="44">
        <f>SUM(F17:F23)</f>
        <v>0</v>
      </c>
      <c r="G24" s="45">
        <f>SUM(D24:F24)</f>
        <v>11</v>
      </c>
      <c r="H24" s="46">
        <f>SUM(H17:H23)</f>
        <v>11</v>
      </c>
      <c r="I24" s="47">
        <f>SUM(I17:I23)</f>
        <v>0</v>
      </c>
      <c r="J24" s="47">
        <f t="shared" ref="J24:N24" si="1">SUM(J17:J23)</f>
        <v>0</v>
      </c>
      <c r="K24" s="47">
        <f t="shared" si="1"/>
        <v>0</v>
      </c>
      <c r="L24" s="47">
        <f t="shared" si="1"/>
        <v>0</v>
      </c>
      <c r="M24" s="47">
        <f t="shared" si="1"/>
        <v>0</v>
      </c>
      <c r="N24" s="47">
        <f t="shared" si="1"/>
        <v>0</v>
      </c>
      <c r="O24" s="455">
        <f>SUM(O17:O23)</f>
        <v>0</v>
      </c>
      <c r="Y24" s="35"/>
    </row>
    <row r="25" spans="1:25" ht="15.75" thickBot="1">
      <c r="C25" s="49"/>
      <c r="H25" s="7"/>
      <c r="I25" s="7"/>
      <c r="J25" s="7"/>
      <c r="K25" s="7"/>
      <c r="L25" s="7"/>
      <c r="M25" s="7"/>
      <c r="N25" s="7"/>
      <c r="O25" s="7"/>
    </row>
    <row r="26" spans="1:25" s="51" customFormat="1" ht="30.75" customHeight="1">
      <c r="A26" s="515"/>
      <c r="B26" s="516"/>
      <c r="C26" s="50"/>
      <c r="D26" s="1959" t="s">
        <v>5</v>
      </c>
      <c r="E26" s="2071"/>
      <c r="F26" s="2071"/>
      <c r="G26" s="2072"/>
      <c r="H26" s="15"/>
      <c r="I26" s="16"/>
      <c r="J26" s="17"/>
      <c r="K26" s="17"/>
      <c r="L26" s="17"/>
      <c r="M26" s="17"/>
      <c r="N26" s="17"/>
      <c r="O26" s="15"/>
      <c r="P26"/>
      <c r="Q26"/>
      <c r="R26"/>
      <c r="S26"/>
      <c r="T26"/>
      <c r="U26"/>
      <c r="V26"/>
      <c r="W26"/>
      <c r="X26"/>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1874" t="s">
        <v>550</v>
      </c>
      <c r="B28" s="1855"/>
      <c r="C28" s="57">
        <v>2014</v>
      </c>
      <c r="D28" s="33"/>
      <c r="E28" s="31"/>
      <c r="F28" s="31"/>
      <c r="G28" s="58">
        <f>SUM(D28:F28)</f>
        <v>0</v>
      </c>
      <c r="H28" s="35"/>
      <c r="I28" s="35"/>
      <c r="J28" s="35"/>
      <c r="K28" s="35"/>
      <c r="L28" s="35"/>
      <c r="M28" s="35"/>
      <c r="N28" s="35"/>
      <c r="O28" s="35"/>
      <c r="P28" s="35"/>
      <c r="Q28" s="7"/>
    </row>
    <row r="29" spans="1:25">
      <c r="A29" s="1854"/>
      <c r="B29" s="1855"/>
      <c r="C29" s="59">
        <v>2015</v>
      </c>
      <c r="D29" s="39">
        <v>137</v>
      </c>
      <c r="E29" s="38"/>
      <c r="F29" s="38"/>
      <c r="G29" s="58">
        <v>137</v>
      </c>
      <c r="H29" s="35"/>
      <c r="I29" s="35"/>
      <c r="J29" s="35"/>
      <c r="K29" s="35"/>
      <c r="L29" s="35"/>
      <c r="M29" s="35"/>
      <c r="N29" s="35"/>
      <c r="O29" s="35"/>
      <c r="P29" s="35"/>
      <c r="Q29" s="7"/>
    </row>
    <row r="30" spans="1:25">
      <c r="A30" s="1854"/>
      <c r="B30" s="1855"/>
      <c r="C30" s="59">
        <v>2016</v>
      </c>
      <c r="D30" s="39">
        <v>257</v>
      </c>
      <c r="E30" s="38"/>
      <c r="F30" s="38"/>
      <c r="G30" s="58">
        <v>257</v>
      </c>
      <c r="H30" s="7"/>
      <c r="I30" s="7"/>
      <c r="J30" s="7"/>
      <c r="K30" s="7"/>
      <c r="L30" s="7"/>
      <c r="M30" s="35"/>
      <c r="N30" s="35"/>
      <c r="O30" s="35"/>
      <c r="P30" s="35"/>
      <c r="Q30" s="7"/>
    </row>
    <row r="31" spans="1:25">
      <c r="A31" s="1854"/>
      <c r="B31" s="1855"/>
      <c r="C31" s="59">
        <v>2017</v>
      </c>
      <c r="D31" s="39">
        <v>263</v>
      </c>
      <c r="E31" s="38"/>
      <c r="F31" s="38"/>
      <c r="G31" s="58">
        <f t="shared" ref="G31:G35" si="2">SUM(D31:F31)</f>
        <v>263</v>
      </c>
      <c r="H31" s="35"/>
      <c r="I31" s="65"/>
      <c r="J31" s="65"/>
      <c r="K31" s="65"/>
      <c r="M31" s="35"/>
      <c r="N31" s="35"/>
      <c r="O31" s="35"/>
      <c r="P31" s="35"/>
      <c r="Q31" s="7"/>
    </row>
    <row r="32" spans="1:25">
      <c r="A32" s="1854"/>
      <c r="B32" s="1855"/>
      <c r="C32" s="59">
        <v>2018</v>
      </c>
      <c r="D32" s="39"/>
      <c r="E32" s="38"/>
      <c r="F32" s="38"/>
      <c r="G32" s="58">
        <f>SUM(D32:F32)</f>
        <v>0</v>
      </c>
      <c r="H32" s="35"/>
      <c r="I32" s="35"/>
      <c r="J32" s="35"/>
      <c r="K32" s="35"/>
      <c r="L32" s="35"/>
      <c r="M32" s="35"/>
      <c r="N32" s="35"/>
      <c r="O32" s="35"/>
      <c r="P32" s="35"/>
      <c r="Q32" s="7"/>
    </row>
    <row r="33" spans="1:17">
      <c r="A33" s="1854"/>
      <c r="B33" s="1855"/>
      <c r="C33" s="60">
        <v>2019</v>
      </c>
      <c r="D33" s="39"/>
      <c r="E33" s="38"/>
      <c r="F33" s="38"/>
      <c r="G33" s="58">
        <f t="shared" si="2"/>
        <v>0</v>
      </c>
      <c r="H33" s="7"/>
      <c r="I33" s="7"/>
      <c r="J33" s="7"/>
      <c r="K33" s="7"/>
      <c r="L33" s="7"/>
      <c r="M33" s="35"/>
      <c r="N33" s="35"/>
      <c r="O33" s="35"/>
      <c r="P33" s="35"/>
      <c r="Q33" s="7"/>
    </row>
    <row r="34" spans="1:17">
      <c r="A34" s="1854"/>
      <c r="B34" s="1855"/>
      <c r="C34" s="59">
        <v>2020</v>
      </c>
      <c r="D34" s="39"/>
      <c r="E34" s="38"/>
      <c r="F34" s="38"/>
      <c r="G34" s="58">
        <f t="shared" si="2"/>
        <v>0</v>
      </c>
      <c r="H34" s="35"/>
      <c r="I34" s="65"/>
      <c r="J34" s="65"/>
      <c r="K34" s="65"/>
      <c r="M34" s="35"/>
      <c r="N34" s="35"/>
      <c r="O34" s="35"/>
      <c r="P34" s="35"/>
      <c r="Q34" s="7"/>
    </row>
    <row r="35" spans="1:17" ht="20.25" customHeight="1" thickBot="1">
      <c r="A35" s="1856"/>
      <c r="B35" s="1857"/>
      <c r="C35" s="61" t="s">
        <v>13</v>
      </c>
      <c r="D35" s="46">
        <f>SUM(D28:D34)</f>
        <v>657</v>
      </c>
      <c r="E35" s="44">
        <f>SUM(E28:E34)</f>
        <v>0</v>
      </c>
      <c r="F35" s="44">
        <f>SUM(F28:F34)</f>
        <v>0</v>
      </c>
      <c r="G35" s="48">
        <f t="shared" si="2"/>
        <v>657</v>
      </c>
      <c r="H35" s="35"/>
      <c r="M35" s="35"/>
      <c r="N35" s="35"/>
      <c r="O35" s="35"/>
      <c r="P35" s="35"/>
      <c r="Q35" s="7"/>
    </row>
    <row r="36" spans="1:17">
      <c r="A36" s="1535"/>
      <c r="B36" s="1535"/>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F38" s="35"/>
    </row>
    <row r="39" spans="1:17" ht="88.5" customHeight="1">
      <c r="A39" s="535" t="s">
        <v>26</v>
      </c>
      <c r="B39" s="536" t="s">
        <v>171</v>
      </c>
      <c r="C39" s="68" t="s">
        <v>9</v>
      </c>
      <c r="D39" s="69" t="s">
        <v>28</v>
      </c>
      <c r="E39" s="70" t="s">
        <v>29</v>
      </c>
      <c r="F39" s="7"/>
      <c r="G39" s="7"/>
      <c r="H39" s="7"/>
      <c r="I39" s="7"/>
      <c r="J39" s="7"/>
    </row>
    <row r="40" spans="1:17">
      <c r="A40" s="1874" t="s">
        <v>551</v>
      </c>
      <c r="B40" s="1855"/>
      <c r="C40" s="72">
        <v>2014</v>
      </c>
      <c r="D40" s="30"/>
      <c r="E40" s="29"/>
      <c r="F40" s="35"/>
      <c r="G40" s="65"/>
      <c r="H40" s="65"/>
      <c r="I40" s="65"/>
    </row>
    <row r="41" spans="1:17">
      <c r="A41" s="1854"/>
      <c r="B41" s="1855"/>
      <c r="C41" s="73">
        <v>2015</v>
      </c>
      <c r="D41" s="37"/>
      <c r="E41" s="36"/>
      <c r="F41" s="35"/>
    </row>
    <row r="42" spans="1:17">
      <c r="A42" s="1854"/>
      <c r="B42" s="1855"/>
      <c r="C42" s="73">
        <v>2016</v>
      </c>
      <c r="D42" s="37"/>
      <c r="E42" s="36"/>
      <c r="F42" s="7"/>
      <c r="G42" s="35"/>
      <c r="H42" s="35"/>
    </row>
    <row r="43" spans="1:17" ht="18.75">
      <c r="A43" s="1854"/>
      <c r="B43" s="1855"/>
      <c r="C43" s="73">
        <v>2017</v>
      </c>
      <c r="D43" s="37">
        <v>3135</v>
      </c>
      <c r="E43" s="36">
        <v>2514</v>
      </c>
      <c r="F43" s="1727"/>
      <c r="G43" s="35"/>
      <c r="H43" s="35"/>
    </row>
    <row r="44" spans="1:17">
      <c r="A44" s="1854"/>
      <c r="B44" s="1855"/>
      <c r="C44" s="73">
        <v>2018</v>
      </c>
      <c r="D44" s="37"/>
      <c r="E44" s="36"/>
      <c r="F44" s="7"/>
      <c r="G44" s="35"/>
      <c r="H44" s="35"/>
    </row>
    <row r="45" spans="1:17">
      <c r="A45" s="1854"/>
      <c r="B45" s="1855"/>
      <c r="C45" s="73">
        <v>2019</v>
      </c>
      <c r="D45" s="37"/>
      <c r="E45" s="36"/>
      <c r="F45" s="7"/>
      <c r="G45" s="35"/>
      <c r="H45" s="35"/>
    </row>
    <row r="46" spans="1:17">
      <c r="A46" s="1854"/>
      <c r="B46" s="1855"/>
      <c r="C46" s="73">
        <v>2020</v>
      </c>
      <c r="D46" s="37"/>
      <c r="E46" s="36"/>
      <c r="F46" s="7"/>
      <c r="G46" s="35"/>
      <c r="H46" s="35"/>
    </row>
    <row r="47" spans="1:17" ht="15.75" thickBot="1">
      <c r="A47" s="1856"/>
      <c r="B47" s="1857"/>
      <c r="C47" s="42" t="s">
        <v>13</v>
      </c>
      <c r="D47" s="43">
        <f>SUM(D40:D46)</f>
        <v>3135</v>
      </c>
      <c r="E47" s="455">
        <f>SUM(E40:E46)</f>
        <v>2514</v>
      </c>
    </row>
    <row r="48" spans="1:17" s="35" customFormat="1" ht="15.75" thickBot="1">
      <c r="A48" s="539"/>
      <c r="B48" s="80"/>
      <c r="C48" s="81"/>
    </row>
    <row r="49" spans="1:24" ht="83.25" customHeight="1">
      <c r="A49" s="82" t="s">
        <v>32</v>
      </c>
      <c r="B49" s="536" t="s">
        <v>171</v>
      </c>
      <c r="C49" s="84" t="s">
        <v>9</v>
      </c>
      <c r="D49" s="69" t="s">
        <v>34</v>
      </c>
      <c r="E49" s="85" t="s">
        <v>35</v>
      </c>
      <c r="F49" s="85" t="s">
        <v>36</v>
      </c>
      <c r="G49" s="85" t="s">
        <v>37</v>
      </c>
      <c r="H49" s="85" t="s">
        <v>38</v>
      </c>
      <c r="I49" s="85" t="s">
        <v>39</v>
      </c>
      <c r="J49" s="85" t="s">
        <v>40</v>
      </c>
      <c r="K49" s="86" t="s">
        <v>41</v>
      </c>
    </row>
    <row r="50" spans="1:24" ht="17.25" customHeight="1">
      <c r="A50" s="1872"/>
      <c r="B50" s="1879"/>
      <c r="C50" s="87" t="s">
        <v>43</v>
      </c>
      <c r="D50" s="30"/>
      <c r="E50" s="31"/>
      <c r="F50" s="31"/>
      <c r="G50" s="31"/>
      <c r="H50" s="31"/>
      <c r="I50" s="31"/>
      <c r="J50" s="31"/>
      <c r="K50" s="34"/>
    </row>
    <row r="51" spans="1:24" ht="15" customHeight="1">
      <c r="A51" s="1874"/>
      <c r="B51" s="1881"/>
      <c r="C51" s="73">
        <v>2014</v>
      </c>
      <c r="D51" s="37"/>
      <c r="E51" s="38"/>
      <c r="F51" s="38"/>
      <c r="G51" s="38"/>
      <c r="H51" s="38"/>
      <c r="I51" s="38"/>
      <c r="J51" s="38"/>
      <c r="K51" s="88"/>
    </row>
    <row r="52" spans="1:24">
      <c r="A52" s="1874"/>
      <c r="B52" s="1881"/>
      <c r="C52" s="73">
        <v>2015</v>
      </c>
      <c r="D52" s="37"/>
      <c r="E52" s="38"/>
      <c r="F52" s="38"/>
      <c r="G52" s="38"/>
      <c r="H52" s="38"/>
      <c r="I52" s="38"/>
      <c r="J52" s="38"/>
      <c r="K52" s="88"/>
    </row>
    <row r="53" spans="1:24">
      <c r="A53" s="1874"/>
      <c r="B53" s="1881"/>
      <c r="C53" s="73">
        <v>2016</v>
      </c>
      <c r="D53" s="37"/>
      <c r="E53" s="38"/>
      <c r="F53" s="38"/>
      <c r="G53" s="38"/>
      <c r="H53" s="38"/>
      <c r="I53" s="38"/>
      <c r="J53" s="38"/>
      <c r="K53" s="88"/>
    </row>
    <row r="54" spans="1:24">
      <c r="A54" s="1874"/>
      <c r="B54" s="1881"/>
      <c r="C54" s="73">
        <v>2017</v>
      </c>
      <c r="D54" s="37"/>
      <c r="E54" s="38"/>
      <c r="F54" s="38"/>
      <c r="G54" s="38"/>
      <c r="H54" s="38"/>
      <c r="I54" s="38"/>
      <c r="J54" s="38"/>
      <c r="K54" s="88"/>
    </row>
    <row r="55" spans="1:24">
      <c r="A55" s="1874"/>
      <c r="B55" s="1881"/>
      <c r="C55" s="73">
        <v>2018</v>
      </c>
      <c r="D55" s="37"/>
      <c r="E55" s="38"/>
      <c r="F55" s="38"/>
      <c r="G55" s="38"/>
      <c r="H55" s="38"/>
      <c r="I55" s="38"/>
      <c r="J55" s="38"/>
      <c r="K55" s="88"/>
    </row>
    <row r="56" spans="1:24">
      <c r="A56" s="1874"/>
      <c r="B56" s="1881"/>
      <c r="C56" s="73">
        <v>2019</v>
      </c>
      <c r="D56" s="37"/>
      <c r="E56" s="38"/>
      <c r="F56" s="38"/>
      <c r="G56" s="38"/>
      <c r="H56" s="38"/>
      <c r="I56" s="38"/>
      <c r="J56" s="38"/>
      <c r="K56" s="88"/>
    </row>
    <row r="57" spans="1:24">
      <c r="A57" s="1874"/>
      <c r="B57" s="1881"/>
      <c r="C57" s="73">
        <v>2020</v>
      </c>
      <c r="D57" s="37"/>
      <c r="E57" s="38"/>
      <c r="F57" s="38"/>
      <c r="G57" s="38"/>
      <c r="H57" s="38"/>
      <c r="I57" s="38"/>
      <c r="J57" s="38"/>
      <c r="K57" s="93"/>
    </row>
    <row r="58" spans="1:24" ht="20.25" customHeight="1" thickBot="1">
      <c r="A58" s="1876"/>
      <c r="B58" s="1883"/>
      <c r="C58" s="42" t="s">
        <v>13</v>
      </c>
      <c r="D58" s="43">
        <f>SUM(D51:D57)</f>
        <v>0</v>
      </c>
      <c r="E58" s="44">
        <f>SUM(E51:E57)</f>
        <v>0</v>
      </c>
      <c r="F58" s="44">
        <f>SUM(F51:F57)</f>
        <v>0</v>
      </c>
      <c r="G58" s="44">
        <f>SUM(G51:G57)</f>
        <v>0</v>
      </c>
      <c r="H58" s="44">
        <f>SUM(H51:H57)</f>
        <v>0</v>
      </c>
      <c r="I58" s="44">
        <f t="shared" ref="I58" si="3">SUM(I51:I57)</f>
        <v>0</v>
      </c>
      <c r="J58" s="44">
        <f>SUM(J51:J57)</f>
        <v>0</v>
      </c>
      <c r="K58" s="48">
        <f>SUM(K50:K56)</f>
        <v>0</v>
      </c>
    </row>
    <row r="59" spans="1:24" ht="15.75" thickBot="1"/>
    <row r="60" spans="1:24" ht="21" customHeight="1">
      <c r="A60" s="2073" t="s">
        <v>44</v>
      </c>
      <c r="B60" s="540"/>
      <c r="C60" s="2074" t="s">
        <v>9</v>
      </c>
      <c r="D60" s="2417" t="s">
        <v>45</v>
      </c>
      <c r="E60" s="96" t="s">
        <v>6</v>
      </c>
      <c r="F60" s="541"/>
      <c r="G60" s="541"/>
      <c r="H60" s="541"/>
      <c r="I60" s="541"/>
      <c r="J60" s="541"/>
      <c r="K60" s="541"/>
      <c r="L60" s="1728"/>
    </row>
    <row r="61" spans="1:24" ht="115.5" customHeight="1">
      <c r="A61" s="1970"/>
      <c r="B61" s="373" t="s">
        <v>171</v>
      </c>
      <c r="C61" s="1972"/>
      <c r="D61" s="1942"/>
      <c r="E61" s="100" t="s">
        <v>14</v>
      </c>
      <c r="F61" s="101" t="s">
        <v>15</v>
      </c>
      <c r="G61" s="101" t="s">
        <v>16</v>
      </c>
      <c r="H61" s="102" t="s">
        <v>17</v>
      </c>
      <c r="I61" s="102" t="s">
        <v>18</v>
      </c>
      <c r="J61" s="103" t="s">
        <v>19</v>
      </c>
      <c r="K61" s="101" t="s">
        <v>20</v>
      </c>
      <c r="L61" s="1729" t="s">
        <v>21</v>
      </c>
      <c r="V61" s="78"/>
      <c r="W61" s="78"/>
      <c r="X61" s="78"/>
    </row>
    <row r="62" spans="1:24">
      <c r="A62" s="1898"/>
      <c r="B62" s="1899"/>
      <c r="C62" s="106">
        <v>2014</v>
      </c>
      <c r="D62" s="107"/>
      <c r="E62" s="108"/>
      <c r="F62" s="109"/>
      <c r="G62" s="109"/>
      <c r="H62" s="109"/>
      <c r="I62" s="109"/>
      <c r="J62" s="109"/>
      <c r="K62" s="109"/>
      <c r="L62" s="29"/>
    </row>
    <row r="63" spans="1:24">
      <c r="A63" s="1891"/>
      <c r="B63" s="1899"/>
      <c r="C63" s="110">
        <v>2015</v>
      </c>
      <c r="D63" s="111"/>
      <c r="E63" s="112"/>
      <c r="F63" s="38"/>
      <c r="G63" s="38"/>
      <c r="H63" s="38"/>
      <c r="I63" s="38"/>
      <c r="J63" s="38"/>
      <c r="K63" s="38"/>
      <c r="L63" s="36"/>
    </row>
    <row r="64" spans="1:24">
      <c r="A64" s="1891"/>
      <c r="B64" s="1899"/>
      <c r="C64" s="110">
        <v>2016</v>
      </c>
      <c r="D64" s="111">
        <v>6</v>
      </c>
      <c r="E64" s="112">
        <v>6</v>
      </c>
      <c r="F64" s="38"/>
      <c r="G64" s="38"/>
      <c r="H64" s="38"/>
      <c r="I64" s="38"/>
      <c r="J64" s="38"/>
      <c r="K64" s="38"/>
      <c r="L64" s="36"/>
    </row>
    <row r="65" spans="1:20">
      <c r="A65" s="1891"/>
      <c r="B65" s="1899"/>
      <c r="C65" s="110">
        <v>2017</v>
      </c>
      <c r="D65" s="111">
        <v>2</v>
      </c>
      <c r="E65" s="112">
        <v>2</v>
      </c>
      <c r="F65" s="38"/>
      <c r="G65" s="38"/>
      <c r="H65" s="38"/>
      <c r="I65" s="38"/>
      <c r="J65" s="38"/>
      <c r="K65" s="38"/>
      <c r="L65" s="36"/>
    </row>
    <row r="66" spans="1:20">
      <c r="A66" s="1891"/>
      <c r="B66" s="1899"/>
      <c r="C66" s="110">
        <v>2018</v>
      </c>
      <c r="D66" s="111"/>
      <c r="E66" s="112"/>
      <c r="F66" s="38"/>
      <c r="G66" s="38"/>
      <c r="H66" s="38"/>
      <c r="I66" s="38"/>
      <c r="J66" s="38"/>
      <c r="K66" s="38"/>
      <c r="L66" s="36"/>
    </row>
    <row r="67" spans="1:20" ht="17.25" customHeight="1">
      <c r="A67" s="1891"/>
      <c r="B67" s="1899"/>
      <c r="C67" s="110">
        <v>2019</v>
      </c>
      <c r="D67" s="111"/>
      <c r="E67" s="112"/>
      <c r="F67" s="38"/>
      <c r="G67" s="38"/>
      <c r="H67" s="38"/>
      <c r="I67" s="38"/>
      <c r="J67" s="38"/>
      <c r="K67" s="38"/>
      <c r="L67" s="36"/>
    </row>
    <row r="68" spans="1:20" ht="16.5" customHeight="1">
      <c r="A68" s="1891"/>
      <c r="B68" s="1899"/>
      <c r="C68" s="110">
        <v>2020</v>
      </c>
      <c r="D68" s="111"/>
      <c r="E68" s="112"/>
      <c r="F68" s="38"/>
      <c r="G68" s="38"/>
      <c r="H68" s="38"/>
      <c r="I68" s="38"/>
      <c r="J68" s="38"/>
      <c r="K68" s="38"/>
      <c r="L68" s="36"/>
    </row>
    <row r="69" spans="1:20" ht="18" customHeight="1" thickBot="1">
      <c r="A69" s="1980"/>
      <c r="B69" s="1900"/>
      <c r="C69" s="113" t="s">
        <v>13</v>
      </c>
      <c r="D69" s="114">
        <f>SUM(D62:D68)</f>
        <v>8</v>
      </c>
      <c r="E69" s="115">
        <f>SUM(E62:E68)</f>
        <v>8</v>
      </c>
      <c r="F69" s="116">
        <f t="shared" ref="F69:I69" si="4">SUM(F62:F68)</f>
        <v>0</v>
      </c>
      <c r="G69" s="116">
        <f t="shared" si="4"/>
        <v>0</v>
      </c>
      <c r="H69" s="116">
        <f t="shared" si="4"/>
        <v>0</v>
      </c>
      <c r="I69" s="116">
        <f t="shared" si="4"/>
        <v>0</v>
      </c>
      <c r="J69" s="116"/>
      <c r="K69" s="116">
        <f>SUM(K62:K68)</f>
        <v>0</v>
      </c>
      <c r="L69" s="220">
        <f>SUM(L62:L68)</f>
        <v>0</v>
      </c>
    </row>
    <row r="70" spans="1:20" ht="20.25" customHeight="1" thickBot="1">
      <c r="A70" s="118"/>
      <c r="B70" s="119"/>
      <c r="C70" s="120"/>
      <c r="D70" s="121"/>
      <c r="E70" s="121"/>
      <c r="F70" s="121"/>
      <c r="G70" s="121"/>
      <c r="H70" s="120"/>
      <c r="I70" s="122"/>
      <c r="J70" s="122"/>
      <c r="K70" s="122"/>
      <c r="L70" s="122"/>
    </row>
    <row r="71" spans="1:20" ht="132" customHeight="1">
      <c r="A71" s="535" t="s">
        <v>47</v>
      </c>
      <c r="B71" s="536" t="s">
        <v>171</v>
      </c>
      <c r="C71" s="68" t="s">
        <v>9</v>
      </c>
      <c r="D71" s="123" t="s">
        <v>49</v>
      </c>
      <c r="E71" s="123" t="s">
        <v>50</v>
      </c>
      <c r="F71" s="124" t="s">
        <v>51</v>
      </c>
      <c r="G71" s="125" t="s">
        <v>52</v>
      </c>
      <c r="H71" s="126" t="s">
        <v>14</v>
      </c>
      <c r="I71" s="128" t="s">
        <v>15</v>
      </c>
      <c r="J71" s="128" t="s">
        <v>16</v>
      </c>
      <c r="K71" s="128" t="s">
        <v>17</v>
      </c>
      <c r="L71" s="128" t="s">
        <v>18</v>
      </c>
      <c r="M71" s="129" t="s">
        <v>19</v>
      </c>
      <c r="N71" s="128" t="s">
        <v>20</v>
      </c>
      <c r="O71" s="130" t="s">
        <v>21</v>
      </c>
    </row>
    <row r="72" spans="1:20" ht="15" customHeight="1">
      <c r="A72" s="1874"/>
      <c r="B72" s="1899"/>
      <c r="C72" s="72">
        <v>2014</v>
      </c>
      <c r="D72" s="131"/>
      <c r="E72" s="131"/>
      <c r="F72" s="131"/>
      <c r="G72" s="132">
        <f>SUM(D72:F72)</f>
        <v>0</v>
      </c>
      <c r="H72" s="30"/>
      <c r="I72" s="133"/>
      <c r="J72" s="109"/>
      <c r="K72" s="109"/>
      <c r="L72" s="109"/>
      <c r="M72" s="109"/>
      <c r="N72" s="109"/>
      <c r="O72" s="134"/>
    </row>
    <row r="73" spans="1:20">
      <c r="A73" s="1854"/>
      <c r="B73" s="1899"/>
      <c r="C73" s="73">
        <v>2015</v>
      </c>
      <c r="D73" s="135"/>
      <c r="E73" s="135"/>
      <c r="F73" s="135"/>
      <c r="G73" s="132">
        <f t="shared" ref="G73:G78" si="5">SUM(D73:F73)</f>
        <v>0</v>
      </c>
      <c r="H73" s="37"/>
      <c r="I73" s="37"/>
      <c r="J73" s="38"/>
      <c r="K73" s="38"/>
      <c r="L73" s="38"/>
      <c r="M73" s="38"/>
      <c r="N73" s="38"/>
      <c r="O73" s="88"/>
    </row>
    <row r="74" spans="1:20">
      <c r="A74" s="1854"/>
      <c r="B74" s="1899"/>
      <c r="C74" s="73">
        <v>2016</v>
      </c>
      <c r="D74" s="135"/>
      <c r="E74" s="135">
        <v>2</v>
      </c>
      <c r="F74" s="135"/>
      <c r="G74" s="132">
        <f t="shared" si="5"/>
        <v>2</v>
      </c>
      <c r="H74" s="37">
        <v>2</v>
      </c>
      <c r="I74" s="37"/>
      <c r="J74" s="38"/>
      <c r="K74" s="38"/>
      <c r="L74" s="38"/>
      <c r="M74" s="38"/>
      <c r="N74" s="38"/>
      <c r="O74" s="88"/>
      <c r="P74" s="65"/>
      <c r="Q74" s="65"/>
      <c r="R74" s="65"/>
      <c r="S74" s="65"/>
      <c r="T74" s="65"/>
    </row>
    <row r="75" spans="1:20">
      <c r="A75" s="1854"/>
      <c r="B75" s="1899"/>
      <c r="C75" s="73">
        <v>2017</v>
      </c>
      <c r="D75" s="135"/>
      <c r="E75" s="135">
        <v>2</v>
      </c>
      <c r="F75" s="135"/>
      <c r="G75" s="132">
        <f t="shared" si="5"/>
        <v>2</v>
      </c>
      <c r="H75" s="37">
        <v>2</v>
      </c>
      <c r="I75" s="37"/>
      <c r="J75" s="38"/>
      <c r="K75" s="38"/>
      <c r="L75" s="38"/>
      <c r="M75" s="38"/>
      <c r="N75" s="38"/>
      <c r="O75" s="88"/>
      <c r="P75" s="65"/>
      <c r="Q75" s="65"/>
      <c r="R75" s="65"/>
      <c r="S75" s="65"/>
      <c r="T75" s="65"/>
    </row>
    <row r="76" spans="1:20">
      <c r="A76" s="1854"/>
      <c r="B76" s="1899"/>
      <c r="C76" s="73">
        <v>2018</v>
      </c>
      <c r="D76" s="135"/>
      <c r="E76" s="135"/>
      <c r="F76" s="135"/>
      <c r="G76" s="132">
        <f t="shared" si="5"/>
        <v>0</v>
      </c>
      <c r="H76" s="37"/>
      <c r="I76" s="37"/>
      <c r="J76" s="38"/>
      <c r="K76" s="38"/>
      <c r="L76" s="38"/>
      <c r="M76" s="38"/>
      <c r="N76" s="38"/>
      <c r="O76" s="88"/>
    </row>
    <row r="77" spans="1:20" ht="15.75" customHeight="1">
      <c r="A77" s="1854"/>
      <c r="B77" s="1899"/>
      <c r="C77" s="73">
        <v>2019</v>
      </c>
      <c r="D77" s="135"/>
      <c r="E77" s="135"/>
      <c r="F77" s="135"/>
      <c r="G77" s="132">
        <f t="shared" si="5"/>
        <v>0</v>
      </c>
      <c r="H77" s="37"/>
      <c r="I77" s="37"/>
      <c r="J77" s="38"/>
      <c r="K77" s="38"/>
      <c r="L77" s="38"/>
      <c r="M77" s="38"/>
      <c r="N77" s="38"/>
      <c r="O77" s="88"/>
    </row>
    <row r="78" spans="1:20" ht="17.25" customHeight="1">
      <c r="A78" s="1854"/>
      <c r="B78" s="1899"/>
      <c r="C78" s="73">
        <v>2020</v>
      </c>
      <c r="D78" s="135"/>
      <c r="E78" s="135"/>
      <c r="F78" s="135"/>
      <c r="G78" s="132">
        <f t="shared" si="5"/>
        <v>0</v>
      </c>
      <c r="H78" s="37"/>
      <c r="I78" s="37"/>
      <c r="J78" s="38"/>
      <c r="K78" s="38"/>
      <c r="L78" s="38"/>
      <c r="M78" s="38"/>
      <c r="N78" s="38"/>
      <c r="O78" s="88"/>
    </row>
    <row r="79" spans="1:20" ht="20.25" customHeight="1" thickBot="1">
      <c r="A79" s="1980"/>
      <c r="B79" s="1900"/>
      <c r="C79" s="136" t="s">
        <v>13</v>
      </c>
      <c r="D79" s="114">
        <f>SUM(D72:D78)</f>
        <v>0</v>
      </c>
      <c r="E79" s="114">
        <f>SUM(E72:E78)</f>
        <v>4</v>
      </c>
      <c r="F79" s="114">
        <f>SUM(F72:F78)</f>
        <v>0</v>
      </c>
      <c r="G79" s="137">
        <f>SUM(G72:G78)</f>
        <v>4</v>
      </c>
      <c r="H79" s="138">
        <v>0</v>
      </c>
      <c r="I79" s="139">
        <f t="shared" ref="I79:O79" si="6">SUM(I72:I78)</f>
        <v>0</v>
      </c>
      <c r="J79" s="116">
        <f t="shared" si="6"/>
        <v>0</v>
      </c>
      <c r="K79" s="116">
        <f t="shared" si="6"/>
        <v>0</v>
      </c>
      <c r="L79" s="116">
        <f t="shared" si="6"/>
        <v>0</v>
      </c>
      <c r="M79" s="116">
        <f t="shared" si="6"/>
        <v>0</v>
      </c>
      <c r="N79" s="116">
        <f t="shared" si="6"/>
        <v>0</v>
      </c>
      <c r="O79" s="117">
        <f t="shared" si="6"/>
        <v>0</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547" t="s">
        <v>56</v>
      </c>
      <c r="B84" s="548" t="s">
        <v>178</v>
      </c>
      <c r="C84" s="149" t="s">
        <v>9</v>
      </c>
      <c r="D84" s="150" t="s">
        <v>58</v>
      </c>
      <c r="E84" s="151" t="s">
        <v>59</v>
      </c>
      <c r="F84" s="152" t="s">
        <v>60</v>
      </c>
      <c r="G84" s="152" t="s">
        <v>61</v>
      </c>
      <c r="H84" s="152" t="s">
        <v>62</v>
      </c>
      <c r="I84" s="152" t="s">
        <v>63</v>
      </c>
      <c r="J84" s="152" t="s">
        <v>64</v>
      </c>
      <c r="K84" s="153" t="s">
        <v>65</v>
      </c>
    </row>
    <row r="85" spans="1:16" ht="15" customHeight="1">
      <c r="A85" s="1938"/>
      <c r="B85" s="1899"/>
      <c r="C85" s="72">
        <v>2014</v>
      </c>
      <c r="D85" s="154"/>
      <c r="E85" s="155"/>
      <c r="F85" s="31"/>
      <c r="G85" s="31"/>
      <c r="H85" s="31"/>
      <c r="I85" s="31"/>
      <c r="J85" s="31"/>
      <c r="K85" s="34"/>
    </row>
    <row r="86" spans="1:16">
      <c r="A86" s="1939"/>
      <c r="B86" s="1899"/>
      <c r="C86" s="73">
        <v>2015</v>
      </c>
      <c r="D86" s="156"/>
      <c r="E86" s="112"/>
      <c r="F86" s="38"/>
      <c r="G86" s="38"/>
      <c r="H86" s="38"/>
      <c r="I86" s="38"/>
      <c r="J86" s="38"/>
      <c r="K86" s="88"/>
    </row>
    <row r="87" spans="1:16">
      <c r="A87" s="1939"/>
      <c r="B87" s="1899"/>
      <c r="C87" s="73">
        <v>2016</v>
      </c>
      <c r="D87" s="156"/>
      <c r="E87" s="112"/>
      <c r="F87" s="38"/>
      <c r="G87" s="38"/>
      <c r="H87" s="38"/>
      <c r="I87" s="38"/>
      <c r="J87" s="38"/>
      <c r="K87" s="88"/>
    </row>
    <row r="88" spans="1:16">
      <c r="A88" s="1939"/>
      <c r="B88" s="1899"/>
      <c r="C88" s="73">
        <v>2017</v>
      </c>
      <c r="D88" s="156"/>
      <c r="E88" s="112"/>
      <c r="F88" s="38"/>
      <c r="G88" s="38"/>
      <c r="H88" s="38"/>
      <c r="I88" s="38"/>
      <c r="J88" s="38"/>
      <c r="K88" s="88"/>
    </row>
    <row r="89" spans="1:16">
      <c r="A89" s="1939"/>
      <c r="B89" s="1899"/>
      <c r="C89" s="73">
        <v>2018</v>
      </c>
      <c r="D89" s="156"/>
      <c r="E89" s="112"/>
      <c r="F89" s="38"/>
      <c r="G89" s="38"/>
      <c r="H89" s="38"/>
      <c r="I89" s="38"/>
      <c r="J89" s="38"/>
      <c r="K89" s="88"/>
    </row>
    <row r="90" spans="1:16">
      <c r="A90" s="1939"/>
      <c r="B90" s="1899"/>
      <c r="C90" s="73">
        <v>2019</v>
      </c>
      <c r="D90" s="156"/>
      <c r="E90" s="112"/>
      <c r="F90" s="38"/>
      <c r="G90" s="38"/>
      <c r="H90" s="38"/>
      <c r="I90" s="38"/>
      <c r="J90" s="38"/>
      <c r="K90" s="88"/>
    </row>
    <row r="91" spans="1:16">
      <c r="A91" s="1939"/>
      <c r="B91" s="1899"/>
      <c r="C91" s="73">
        <v>2020</v>
      </c>
      <c r="D91" s="156"/>
      <c r="E91" s="112"/>
      <c r="F91" s="38"/>
      <c r="G91" s="38"/>
      <c r="H91" s="38"/>
      <c r="I91" s="38"/>
      <c r="J91" s="38"/>
      <c r="K91" s="88"/>
    </row>
    <row r="92" spans="1:16" ht="18" customHeight="1" thickBot="1">
      <c r="A92" s="1940"/>
      <c r="B92" s="1900"/>
      <c r="C92" s="136" t="s">
        <v>13</v>
      </c>
      <c r="D92" s="157">
        <f t="shared" ref="D92:I92" si="7">SUM(D85:D91)</f>
        <v>0</v>
      </c>
      <c r="E92" s="115">
        <f t="shared" si="7"/>
        <v>0</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row>
    <row r="95" spans="1:16" s="65" customFormat="1" ht="15" customHeight="1" thickBot="1">
      <c r="A95" s="161"/>
      <c r="B95" s="161"/>
      <c r="N95"/>
      <c r="O95"/>
      <c r="P95"/>
    </row>
    <row r="96" spans="1:16" ht="29.25" customHeight="1">
      <c r="A96" s="2051" t="s">
        <v>68</v>
      </c>
      <c r="B96" s="2052" t="s">
        <v>179</v>
      </c>
      <c r="C96" s="2058" t="s">
        <v>9</v>
      </c>
      <c r="D96" s="1916" t="s">
        <v>70</v>
      </c>
      <c r="E96" s="1917"/>
      <c r="F96" s="162" t="s">
        <v>71</v>
      </c>
      <c r="G96" s="549"/>
      <c r="H96" s="549"/>
      <c r="I96" s="549"/>
      <c r="J96" s="549"/>
      <c r="K96" s="549"/>
      <c r="L96" s="549"/>
      <c r="M96" s="550"/>
    </row>
    <row r="97" spans="1:14" ht="100.5" customHeight="1">
      <c r="A97" s="1910"/>
      <c r="B97" s="1912"/>
      <c r="C97" s="1925"/>
      <c r="D97" s="166" t="s">
        <v>72</v>
      </c>
      <c r="E97" s="167" t="s">
        <v>73</v>
      </c>
      <c r="F97" s="168" t="s">
        <v>14</v>
      </c>
      <c r="G97" s="169" t="s">
        <v>74</v>
      </c>
      <c r="H97" s="170" t="s">
        <v>61</v>
      </c>
      <c r="I97" s="171" t="s">
        <v>62</v>
      </c>
      <c r="J97" s="171" t="s">
        <v>63</v>
      </c>
      <c r="K97" s="172" t="s">
        <v>75</v>
      </c>
      <c r="L97" s="170" t="s">
        <v>64</v>
      </c>
      <c r="M97" s="173" t="s">
        <v>65</v>
      </c>
    </row>
    <row r="98" spans="1:14" ht="17.25" customHeight="1">
      <c r="A98" s="1898"/>
      <c r="B98" s="1899"/>
      <c r="C98" s="106">
        <v>2014</v>
      </c>
      <c r="D98" s="30"/>
      <c r="E98" s="31"/>
      <c r="F98" s="174"/>
      <c r="G98" s="175"/>
      <c r="H98" s="175"/>
      <c r="I98" s="175"/>
      <c r="J98" s="175"/>
      <c r="K98" s="175"/>
      <c r="L98" s="175"/>
      <c r="M98" s="176"/>
    </row>
    <row r="99" spans="1:14" ht="16.5" customHeight="1">
      <c r="A99" s="1891"/>
      <c r="B99" s="1899"/>
      <c r="C99" s="110">
        <v>2015</v>
      </c>
      <c r="D99" s="37"/>
      <c r="E99" s="38"/>
      <c r="F99" s="177"/>
      <c r="G99" s="178"/>
      <c r="H99" s="178"/>
      <c r="I99" s="178"/>
      <c r="J99" s="178"/>
      <c r="K99" s="178"/>
      <c r="L99" s="178"/>
      <c r="M99" s="179"/>
    </row>
    <row r="100" spans="1:14" ht="16.5" customHeight="1">
      <c r="A100" s="1891"/>
      <c r="B100" s="1899"/>
      <c r="C100" s="110">
        <v>2016</v>
      </c>
      <c r="D100" s="37"/>
      <c r="E100" s="38"/>
      <c r="F100" s="177"/>
      <c r="G100" s="178"/>
      <c r="H100" s="178"/>
      <c r="I100" s="178"/>
      <c r="J100" s="178"/>
      <c r="K100" s="178"/>
      <c r="L100" s="178"/>
      <c r="M100" s="179"/>
    </row>
    <row r="101" spans="1:14" ht="16.5" customHeight="1">
      <c r="A101" s="1891"/>
      <c r="B101" s="1899"/>
      <c r="C101" s="110">
        <v>2017</v>
      </c>
      <c r="D101" s="37"/>
      <c r="E101" s="38"/>
      <c r="F101" s="177"/>
      <c r="G101" s="178"/>
      <c r="H101" s="178"/>
      <c r="I101" s="178"/>
      <c r="J101" s="178"/>
      <c r="K101" s="178"/>
      <c r="L101" s="178"/>
      <c r="M101" s="179"/>
    </row>
    <row r="102" spans="1:14" ht="15.75" customHeight="1">
      <c r="A102" s="1891"/>
      <c r="B102" s="1899"/>
      <c r="C102" s="110">
        <v>2018</v>
      </c>
      <c r="D102" s="37"/>
      <c r="E102" s="38"/>
      <c r="F102" s="177"/>
      <c r="G102" s="178"/>
      <c r="H102" s="178"/>
      <c r="I102" s="178"/>
      <c r="J102" s="178"/>
      <c r="K102" s="178"/>
      <c r="L102" s="178"/>
      <c r="M102" s="179"/>
    </row>
    <row r="103" spans="1:14" ht="14.25" customHeight="1">
      <c r="A103" s="1891"/>
      <c r="B103" s="1899"/>
      <c r="C103" s="110">
        <v>2019</v>
      </c>
      <c r="D103" s="37"/>
      <c r="E103" s="38"/>
      <c r="F103" s="177"/>
      <c r="G103" s="178"/>
      <c r="H103" s="178"/>
      <c r="I103" s="178"/>
      <c r="J103" s="178"/>
      <c r="K103" s="178"/>
      <c r="L103" s="178"/>
      <c r="M103" s="179"/>
    </row>
    <row r="104" spans="1:14" ht="14.25" customHeight="1">
      <c r="A104" s="1891"/>
      <c r="B104" s="1899"/>
      <c r="C104" s="110">
        <v>2020</v>
      </c>
      <c r="D104" s="37"/>
      <c r="E104" s="38"/>
      <c r="F104" s="177"/>
      <c r="G104" s="178"/>
      <c r="H104" s="178"/>
      <c r="I104" s="178"/>
      <c r="J104" s="178"/>
      <c r="K104" s="178"/>
      <c r="L104" s="178"/>
      <c r="M104" s="179"/>
    </row>
    <row r="105" spans="1:14" ht="19.5" customHeight="1" thickBot="1">
      <c r="A105" s="1915"/>
      <c r="B105" s="1900"/>
      <c r="C105" s="113" t="s">
        <v>13</v>
      </c>
      <c r="D105" s="139">
        <f>SUM(D98:D104)</f>
        <v>0</v>
      </c>
      <c r="E105" s="116">
        <f t="shared" ref="E105:K105" si="8">SUM(E98:E104)</f>
        <v>0</v>
      </c>
      <c r="F105" s="180">
        <f t="shared" si="8"/>
        <v>0</v>
      </c>
      <c r="G105" s="181">
        <f t="shared" si="8"/>
        <v>0</v>
      </c>
      <c r="H105" s="181">
        <f t="shared" si="8"/>
        <v>0</v>
      </c>
      <c r="I105" s="181">
        <f>SUM(I98:I104)</f>
        <v>0</v>
      </c>
      <c r="J105" s="181">
        <f t="shared" si="8"/>
        <v>0</v>
      </c>
      <c r="K105" s="181">
        <f t="shared" si="8"/>
        <v>0</v>
      </c>
      <c r="L105" s="181">
        <f>SUM(L98:L104)</f>
        <v>0</v>
      </c>
      <c r="M105" s="182">
        <f>SUM(M98:M104)</f>
        <v>0</v>
      </c>
    </row>
    <row r="106" spans="1:14" ht="15.75" thickBot="1">
      <c r="A106" s="183"/>
      <c r="B106" s="183"/>
      <c r="C106" s="184"/>
      <c r="D106" s="7"/>
      <c r="E106" s="7"/>
      <c r="H106" s="185"/>
      <c r="I106" s="185"/>
      <c r="J106" s="185"/>
      <c r="K106" s="185"/>
      <c r="L106" s="185"/>
      <c r="M106" s="185"/>
      <c r="N106" s="185"/>
    </row>
    <row r="107" spans="1:14" ht="15" customHeight="1">
      <c r="A107" s="2051" t="s">
        <v>77</v>
      </c>
      <c r="B107" s="2052" t="s">
        <v>179</v>
      </c>
      <c r="C107" s="2058" t="s">
        <v>9</v>
      </c>
      <c r="D107" s="2414" t="s">
        <v>78</v>
      </c>
      <c r="E107" s="162" t="s">
        <v>79</v>
      </c>
      <c r="F107" s="549"/>
      <c r="G107" s="549"/>
      <c r="H107" s="549"/>
      <c r="I107" s="549"/>
      <c r="J107" s="549"/>
      <c r="K107" s="549"/>
      <c r="L107" s="550"/>
      <c r="M107" s="185"/>
      <c r="N107" s="185"/>
    </row>
    <row r="108" spans="1:14" ht="103.5"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4">
      <c r="A109" s="1898"/>
      <c r="B109" s="1899"/>
      <c r="C109" s="106">
        <v>2014</v>
      </c>
      <c r="D109" s="31"/>
      <c r="E109" s="174"/>
      <c r="F109" s="175"/>
      <c r="G109" s="175"/>
      <c r="H109" s="175"/>
      <c r="I109" s="175"/>
      <c r="J109" s="175"/>
      <c r="K109" s="175"/>
      <c r="L109" s="176"/>
      <c r="M109" s="185"/>
      <c r="N109" s="185"/>
    </row>
    <row r="110" spans="1:14">
      <c r="A110" s="1891"/>
      <c r="B110" s="1899"/>
      <c r="C110" s="110">
        <v>2015</v>
      </c>
      <c r="D110" s="38"/>
      <c r="E110" s="177"/>
      <c r="F110" s="178"/>
      <c r="G110" s="178"/>
      <c r="H110" s="178"/>
      <c r="I110" s="178"/>
      <c r="J110" s="178"/>
      <c r="K110" s="178"/>
      <c r="L110" s="179"/>
      <c r="M110" s="185"/>
      <c r="N110" s="185"/>
    </row>
    <row r="111" spans="1:14">
      <c r="A111" s="1891"/>
      <c r="B111" s="1899"/>
      <c r="C111" s="110">
        <v>2016</v>
      </c>
      <c r="D111" s="38"/>
      <c r="E111" s="177"/>
      <c r="F111" s="178"/>
      <c r="G111" s="178"/>
      <c r="H111" s="178"/>
      <c r="I111" s="178"/>
      <c r="J111" s="178"/>
      <c r="K111" s="178"/>
      <c r="L111" s="179"/>
      <c r="M111" s="185"/>
      <c r="N111" s="185"/>
    </row>
    <row r="112" spans="1:14">
      <c r="A112" s="1891"/>
      <c r="B112" s="1899"/>
      <c r="C112" s="110">
        <v>2017</v>
      </c>
      <c r="D112" s="38"/>
      <c r="E112" s="177"/>
      <c r="F112" s="178"/>
      <c r="G112" s="178"/>
      <c r="H112" s="178"/>
      <c r="I112" s="178"/>
      <c r="J112" s="178"/>
      <c r="K112" s="178"/>
      <c r="L112" s="179"/>
      <c r="M112" s="185"/>
      <c r="N112" s="185"/>
    </row>
    <row r="113" spans="1:14">
      <c r="A113" s="1891"/>
      <c r="B113" s="1899"/>
      <c r="C113" s="110">
        <v>2018</v>
      </c>
      <c r="D113" s="38"/>
      <c r="E113" s="177"/>
      <c r="F113" s="178"/>
      <c r="G113" s="178"/>
      <c r="H113" s="178"/>
      <c r="I113" s="178"/>
      <c r="J113" s="178"/>
      <c r="K113" s="178"/>
      <c r="L113" s="179"/>
      <c r="M113" s="185"/>
      <c r="N113" s="185"/>
    </row>
    <row r="114" spans="1:14">
      <c r="A114" s="1891"/>
      <c r="B114" s="1899"/>
      <c r="C114" s="110">
        <v>2019</v>
      </c>
      <c r="D114" s="38"/>
      <c r="E114" s="177"/>
      <c r="F114" s="178"/>
      <c r="G114" s="178"/>
      <c r="H114" s="178"/>
      <c r="I114" s="178"/>
      <c r="J114" s="178"/>
      <c r="K114" s="178"/>
      <c r="L114" s="179"/>
      <c r="M114" s="185"/>
      <c r="N114" s="185"/>
    </row>
    <row r="115" spans="1:14">
      <c r="A115" s="1891"/>
      <c r="B115" s="1899"/>
      <c r="C115" s="110">
        <v>2020</v>
      </c>
      <c r="D115" s="38"/>
      <c r="E115" s="177"/>
      <c r="F115" s="178"/>
      <c r="G115" s="178"/>
      <c r="H115" s="178"/>
      <c r="I115" s="178"/>
      <c r="J115" s="178"/>
      <c r="K115" s="178"/>
      <c r="L115" s="179"/>
      <c r="M115" s="185"/>
      <c r="N115" s="185"/>
    </row>
    <row r="116" spans="1:14" ht="25.5" customHeight="1" thickBot="1">
      <c r="A116" s="1915"/>
      <c r="B116" s="1900"/>
      <c r="C116" s="113" t="s">
        <v>13</v>
      </c>
      <c r="D116" s="116">
        <f t="shared" ref="D116:I116" si="9">SUM(D109:D115)</f>
        <v>0</v>
      </c>
      <c r="E116" s="180">
        <f t="shared" si="9"/>
        <v>0</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051" t="s">
        <v>81</v>
      </c>
      <c r="B118" s="2052" t="s">
        <v>179</v>
      </c>
      <c r="C118" s="2058" t="s">
        <v>9</v>
      </c>
      <c r="D118" s="2414" t="s">
        <v>82</v>
      </c>
      <c r="E118" s="162" t="s">
        <v>79</v>
      </c>
      <c r="F118" s="549"/>
      <c r="G118" s="549"/>
      <c r="H118" s="549"/>
      <c r="I118" s="549"/>
      <c r="J118" s="549"/>
      <c r="K118" s="549"/>
      <c r="L118" s="550"/>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1898"/>
      <c r="B120" s="1899"/>
      <c r="C120" s="106">
        <v>2014</v>
      </c>
      <c r="D120" s="31"/>
      <c r="E120" s="174"/>
      <c r="F120" s="175"/>
      <c r="G120" s="175"/>
      <c r="H120" s="175"/>
      <c r="I120" s="175"/>
      <c r="J120" s="175"/>
      <c r="K120" s="175"/>
      <c r="L120" s="176"/>
      <c r="M120" s="185"/>
      <c r="N120" s="185"/>
    </row>
    <row r="121" spans="1:14">
      <c r="A121" s="1891"/>
      <c r="B121" s="1899"/>
      <c r="C121" s="110">
        <v>2015</v>
      </c>
      <c r="D121" s="38"/>
      <c r="E121" s="177"/>
      <c r="F121" s="178"/>
      <c r="G121" s="178"/>
      <c r="H121" s="178"/>
      <c r="I121" s="178"/>
      <c r="J121" s="178"/>
      <c r="K121" s="178"/>
      <c r="L121" s="179"/>
      <c r="M121" s="185"/>
      <c r="N121" s="185"/>
    </row>
    <row r="122" spans="1:14">
      <c r="A122" s="1891"/>
      <c r="B122" s="1899"/>
      <c r="C122" s="110">
        <v>2016</v>
      </c>
      <c r="D122" s="38"/>
      <c r="E122" s="177"/>
      <c r="F122" s="178"/>
      <c r="G122" s="178"/>
      <c r="H122" s="178"/>
      <c r="I122" s="178"/>
      <c r="J122" s="178"/>
      <c r="K122" s="178"/>
      <c r="L122" s="179"/>
      <c r="M122" s="185"/>
      <c r="N122" s="185"/>
    </row>
    <row r="123" spans="1:14">
      <c r="A123" s="1891"/>
      <c r="B123" s="1899"/>
      <c r="C123" s="110">
        <v>2017</v>
      </c>
      <c r="D123" s="38"/>
      <c r="E123" s="177"/>
      <c r="F123" s="178"/>
      <c r="G123" s="178"/>
      <c r="H123" s="178"/>
      <c r="I123" s="178"/>
      <c r="J123" s="178"/>
      <c r="K123" s="178"/>
      <c r="L123" s="179"/>
      <c r="M123" s="185"/>
      <c r="N123" s="185"/>
    </row>
    <row r="124" spans="1:14">
      <c r="A124" s="1891"/>
      <c r="B124" s="1899"/>
      <c r="C124" s="110">
        <v>2018</v>
      </c>
      <c r="D124" s="38"/>
      <c r="E124" s="177"/>
      <c r="F124" s="178"/>
      <c r="G124" s="178"/>
      <c r="H124" s="178"/>
      <c r="I124" s="178"/>
      <c r="J124" s="178"/>
      <c r="K124" s="178"/>
      <c r="L124" s="179"/>
      <c r="M124" s="185"/>
      <c r="N124" s="185"/>
    </row>
    <row r="125" spans="1:14">
      <c r="A125" s="1891"/>
      <c r="B125" s="1899"/>
      <c r="C125" s="110">
        <v>2019</v>
      </c>
      <c r="D125" s="38"/>
      <c r="E125" s="177"/>
      <c r="F125" s="178"/>
      <c r="G125" s="178"/>
      <c r="H125" s="178"/>
      <c r="I125" s="178"/>
      <c r="J125" s="178"/>
      <c r="K125" s="178"/>
      <c r="L125" s="179"/>
      <c r="M125" s="185"/>
      <c r="N125" s="185"/>
    </row>
    <row r="126" spans="1:14">
      <c r="A126" s="1891"/>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051" t="s">
        <v>84</v>
      </c>
      <c r="B129" s="2052" t="s">
        <v>179</v>
      </c>
      <c r="C129" s="1534" t="s">
        <v>9</v>
      </c>
      <c r="D129" s="189" t="s">
        <v>85</v>
      </c>
      <c r="E129" s="553"/>
      <c r="F129" s="553"/>
      <c r="G129" s="191"/>
      <c r="H129" s="185"/>
      <c r="I129" s="185"/>
      <c r="J129" s="185"/>
      <c r="K129" s="185"/>
      <c r="L129" s="185"/>
      <c r="M129" s="185"/>
      <c r="N129" s="185"/>
    </row>
    <row r="130" spans="1:16" ht="77.25" customHeight="1">
      <c r="A130" s="1910"/>
      <c r="B130" s="1912"/>
      <c r="C130" s="1528"/>
      <c r="D130" s="166" t="s">
        <v>86</v>
      </c>
      <c r="E130" s="193" t="s">
        <v>87</v>
      </c>
      <c r="F130" s="167" t="s">
        <v>88</v>
      </c>
      <c r="G130" s="194" t="s">
        <v>13</v>
      </c>
      <c r="H130" s="185"/>
      <c r="I130" s="185"/>
      <c r="J130" s="185"/>
      <c r="K130" s="185"/>
      <c r="L130" s="185"/>
      <c r="M130" s="185"/>
      <c r="N130" s="185"/>
    </row>
    <row r="131" spans="1:16" ht="15" customHeight="1">
      <c r="A131" s="1874"/>
      <c r="B131" s="1855"/>
      <c r="C131" s="106">
        <v>2015</v>
      </c>
      <c r="D131" s="30"/>
      <c r="E131" s="31"/>
      <c r="F131" s="31"/>
      <c r="G131" s="195">
        <f t="shared" ref="G131:G136" si="11">SUM(D131:F131)</f>
        <v>0</v>
      </c>
      <c r="H131" s="185"/>
      <c r="I131" s="185"/>
      <c r="J131" s="185"/>
      <c r="K131" s="185"/>
      <c r="L131" s="185"/>
      <c r="M131" s="185"/>
      <c r="N131" s="185"/>
    </row>
    <row r="132" spans="1:16">
      <c r="A132" s="1854"/>
      <c r="B132" s="1855"/>
      <c r="C132" s="110">
        <v>2016</v>
      </c>
      <c r="D132" s="37"/>
      <c r="E132" s="38"/>
      <c r="F132" s="38"/>
      <c r="G132" s="195">
        <f t="shared" si="11"/>
        <v>0</v>
      </c>
      <c r="H132" s="185"/>
      <c r="I132" s="185"/>
      <c r="J132" s="185"/>
      <c r="K132" s="185"/>
      <c r="L132" s="185"/>
      <c r="M132" s="185"/>
      <c r="N132" s="185"/>
    </row>
    <row r="133" spans="1:16">
      <c r="A133" s="1854"/>
      <c r="B133" s="1855"/>
      <c r="C133" s="110">
        <v>2017</v>
      </c>
      <c r="D133" s="37"/>
      <c r="E133" s="38"/>
      <c r="F133" s="38"/>
      <c r="G133" s="195">
        <f t="shared" si="11"/>
        <v>0</v>
      </c>
      <c r="H133" s="185"/>
      <c r="I133" s="185"/>
      <c r="J133" s="185"/>
      <c r="K133" s="185"/>
      <c r="L133" s="185"/>
      <c r="M133" s="185"/>
      <c r="N133" s="185"/>
    </row>
    <row r="134" spans="1:16">
      <c r="A134" s="1854"/>
      <c r="B134" s="1855"/>
      <c r="C134" s="110">
        <v>2018</v>
      </c>
      <c r="D134" s="37"/>
      <c r="E134" s="38"/>
      <c r="F134" s="38"/>
      <c r="G134" s="195">
        <f t="shared" si="11"/>
        <v>0</v>
      </c>
      <c r="H134" s="185"/>
      <c r="I134" s="185"/>
      <c r="J134" s="185"/>
      <c r="K134" s="185"/>
      <c r="L134" s="185"/>
      <c r="M134" s="185"/>
      <c r="N134" s="185"/>
    </row>
    <row r="135" spans="1:16">
      <c r="A135" s="1854"/>
      <c r="B135" s="1855"/>
      <c r="C135" s="110">
        <v>2019</v>
      </c>
      <c r="D135" s="37"/>
      <c r="E135" s="38"/>
      <c r="F135" s="38"/>
      <c r="G135" s="195">
        <f t="shared" si="11"/>
        <v>0</v>
      </c>
      <c r="H135" s="185"/>
      <c r="I135" s="185"/>
      <c r="J135" s="185"/>
      <c r="K135" s="185"/>
      <c r="L135" s="185"/>
      <c r="M135" s="185"/>
      <c r="N135" s="185"/>
    </row>
    <row r="136" spans="1:16">
      <c r="A136" s="1854"/>
      <c r="B136" s="1855"/>
      <c r="C136" s="110">
        <v>2020</v>
      </c>
      <c r="D136" s="37"/>
      <c r="E136" s="38"/>
      <c r="F136" s="38"/>
      <c r="G136" s="195">
        <f t="shared" si="11"/>
        <v>0</v>
      </c>
      <c r="H136" s="185"/>
      <c r="I136" s="185"/>
      <c r="J136" s="185"/>
      <c r="K136" s="185"/>
      <c r="L136" s="185"/>
      <c r="M136" s="185"/>
      <c r="N136" s="185"/>
    </row>
    <row r="137" spans="1:16" ht="17.25" customHeight="1" thickBot="1">
      <c r="A137" s="1856"/>
      <c r="B137" s="1857"/>
      <c r="C137" s="113" t="s">
        <v>13</v>
      </c>
      <c r="D137" s="139">
        <f>SUM(D131:D136)</f>
        <v>0</v>
      </c>
      <c r="E137" s="139">
        <f t="shared" ref="E137:F137" si="12">SUM(E131:E136)</f>
        <v>0</v>
      </c>
      <c r="F137" s="139">
        <f t="shared" si="12"/>
        <v>0</v>
      </c>
      <c r="G137" s="196">
        <f>SUM(G131:G136)</f>
        <v>0</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row>
    <row r="141" spans="1:16" ht="21.75" customHeight="1" thickBot="1">
      <c r="A141" s="202"/>
      <c r="B141" s="119"/>
      <c r="C141" s="141"/>
      <c r="D141" s="78"/>
      <c r="E141" s="78"/>
      <c r="F141" s="78"/>
      <c r="G141" s="78"/>
      <c r="H141" s="78"/>
      <c r="I141" s="165"/>
      <c r="J141" s="165"/>
      <c r="K141" s="165"/>
      <c r="L141" s="165"/>
      <c r="M141" s="165"/>
      <c r="N141" s="165"/>
    </row>
    <row r="142" spans="1:16" ht="21.75" customHeight="1">
      <c r="A142" s="2050" t="s">
        <v>91</v>
      </c>
      <c r="B142" s="2048" t="s">
        <v>179</v>
      </c>
      <c r="C142" s="2043" t="s">
        <v>9</v>
      </c>
      <c r="D142" s="554" t="s">
        <v>92</v>
      </c>
      <c r="E142" s="555"/>
      <c r="F142" s="555"/>
      <c r="G142" s="555"/>
      <c r="H142" s="555"/>
      <c r="I142" s="556"/>
      <c r="J142" s="2044" t="s">
        <v>93</v>
      </c>
      <c r="K142" s="2045"/>
      <c r="L142" s="2045"/>
      <c r="M142" s="2045"/>
      <c r="N142" s="2046"/>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row>
    <row r="144" spans="1:16" ht="19.5" customHeight="1">
      <c r="A144" s="1898"/>
      <c r="B144" s="1899"/>
      <c r="C144" s="106">
        <v>2014</v>
      </c>
      <c r="D144" s="30"/>
      <c r="E144" s="30"/>
      <c r="F144" s="31"/>
      <c r="G144" s="175"/>
      <c r="H144" s="175"/>
      <c r="I144" s="213">
        <f>D144+F144+G144+H144</f>
        <v>0</v>
      </c>
      <c r="J144" s="214"/>
      <c r="K144" s="215"/>
      <c r="L144" s="214"/>
      <c r="M144" s="215"/>
      <c r="N144" s="216"/>
    </row>
    <row r="145" spans="1:14" ht="19.5" customHeight="1">
      <c r="A145" s="1891"/>
      <c r="B145" s="1899"/>
      <c r="C145" s="110">
        <v>2015</v>
      </c>
      <c r="D145" s="37"/>
      <c r="E145" s="37"/>
      <c r="F145" s="38"/>
      <c r="G145" s="178"/>
      <c r="H145" s="178"/>
      <c r="I145" s="213">
        <f t="shared" ref="I145:I150" si="13">D145+F145+G145+H145</f>
        <v>0</v>
      </c>
      <c r="J145" s="217"/>
      <c r="K145" s="218"/>
      <c r="L145" s="217"/>
      <c r="M145" s="218"/>
      <c r="N145" s="219"/>
    </row>
    <row r="146" spans="1:14" ht="20.25" customHeight="1">
      <c r="A146" s="1891"/>
      <c r="B146" s="1899"/>
      <c r="C146" s="110">
        <v>2016</v>
      </c>
      <c r="D146" s="37"/>
      <c r="E146" s="37"/>
      <c r="F146" s="38"/>
      <c r="G146" s="178"/>
      <c r="H146" s="178"/>
      <c r="I146" s="213">
        <f t="shared" si="13"/>
        <v>0</v>
      </c>
      <c r="J146" s="217"/>
      <c r="K146" s="218"/>
      <c r="L146" s="217"/>
      <c r="M146" s="218"/>
      <c r="N146" s="219"/>
    </row>
    <row r="147" spans="1:14" ht="17.25" customHeight="1">
      <c r="A147" s="1891"/>
      <c r="B147" s="1899"/>
      <c r="C147" s="110">
        <v>2017</v>
      </c>
      <c r="D147" s="37"/>
      <c r="E147" s="37"/>
      <c r="F147" s="38"/>
      <c r="G147" s="178"/>
      <c r="H147" s="178"/>
      <c r="I147" s="213">
        <f t="shared" si="13"/>
        <v>0</v>
      </c>
      <c r="J147" s="217"/>
      <c r="K147" s="218"/>
      <c r="L147" s="217"/>
      <c r="M147" s="218"/>
      <c r="N147" s="219"/>
    </row>
    <row r="148" spans="1:14" ht="19.5" customHeight="1">
      <c r="A148" s="1891"/>
      <c r="B148" s="1899"/>
      <c r="C148" s="110">
        <v>2018</v>
      </c>
      <c r="D148" s="37"/>
      <c r="E148" s="37"/>
      <c r="F148" s="38"/>
      <c r="G148" s="178"/>
      <c r="H148" s="178"/>
      <c r="I148" s="213">
        <f t="shared" si="13"/>
        <v>0</v>
      </c>
      <c r="J148" s="217"/>
      <c r="K148" s="218"/>
      <c r="L148" s="217"/>
      <c r="M148" s="218"/>
      <c r="N148" s="219"/>
    </row>
    <row r="149" spans="1:14" ht="19.5" customHeight="1">
      <c r="A149" s="1891"/>
      <c r="B149" s="1899"/>
      <c r="C149" s="110">
        <v>2019</v>
      </c>
      <c r="D149" s="37"/>
      <c r="E149" s="37"/>
      <c r="F149" s="38"/>
      <c r="G149" s="178"/>
      <c r="H149" s="178"/>
      <c r="I149" s="213">
        <f t="shared" si="13"/>
        <v>0</v>
      </c>
      <c r="J149" s="217"/>
      <c r="K149" s="218"/>
      <c r="L149" s="217"/>
      <c r="M149" s="218"/>
      <c r="N149" s="219"/>
    </row>
    <row r="150" spans="1:14" ht="18.75" customHeight="1">
      <c r="A150" s="1891"/>
      <c r="B150" s="1899"/>
      <c r="C150" s="110">
        <v>2020</v>
      </c>
      <c r="D150" s="37"/>
      <c r="E150" s="37"/>
      <c r="F150" s="38"/>
      <c r="G150" s="178"/>
      <c r="H150" s="178"/>
      <c r="I150" s="213">
        <f t="shared" si="13"/>
        <v>0</v>
      </c>
      <c r="J150" s="217"/>
      <c r="K150" s="218"/>
      <c r="L150" s="217"/>
      <c r="M150" s="218"/>
      <c r="N150" s="219"/>
    </row>
    <row r="151" spans="1:14"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row>
    <row r="152" spans="1:14" ht="27" customHeight="1" thickBot="1">
      <c r="B152" s="224"/>
    </row>
    <row r="153" spans="1:14" ht="35.25" customHeight="1">
      <c r="A153" s="2047" t="s">
        <v>105</v>
      </c>
      <c r="B153" s="2048" t="s">
        <v>179</v>
      </c>
      <c r="C153" s="2049" t="s">
        <v>9</v>
      </c>
      <c r="D153" s="557" t="s">
        <v>106</v>
      </c>
      <c r="E153" s="557"/>
      <c r="F153" s="558"/>
      <c r="G153" s="558"/>
      <c r="H153" s="557" t="s">
        <v>107</v>
      </c>
      <c r="I153" s="557"/>
      <c r="J153" s="559"/>
      <c r="K153" s="56"/>
      <c r="L153" s="56"/>
      <c r="M153" s="56"/>
      <c r="N153" s="56"/>
    </row>
    <row r="154" spans="1:14" ht="49.5" customHeight="1">
      <c r="A154" s="1902"/>
      <c r="B154" s="1904"/>
      <c r="C154" s="1906"/>
      <c r="D154" s="228" t="s">
        <v>108</v>
      </c>
      <c r="E154" s="229" t="s">
        <v>109</v>
      </c>
      <c r="F154" s="230" t="s">
        <v>110</v>
      </c>
      <c r="G154" s="231" t="s">
        <v>111</v>
      </c>
      <c r="H154" s="228" t="s">
        <v>112</v>
      </c>
      <c r="I154" s="229" t="s">
        <v>113</v>
      </c>
      <c r="J154" s="232" t="s">
        <v>103</v>
      </c>
      <c r="K154" s="56"/>
      <c r="L154" s="56"/>
      <c r="M154" s="56"/>
      <c r="N154" s="56"/>
    </row>
    <row r="155" spans="1:14" ht="18.75" customHeight="1">
      <c r="A155" s="1898"/>
      <c r="B155" s="1899"/>
      <c r="C155" s="233">
        <v>2014</v>
      </c>
      <c r="D155" s="214"/>
      <c r="E155" s="175"/>
      <c r="F155" s="215"/>
      <c r="G155" s="213">
        <f>SUM(D155:F155)</f>
        <v>0</v>
      </c>
      <c r="H155" s="214"/>
      <c r="I155" s="175"/>
      <c r="J155" s="176"/>
    </row>
    <row r="156" spans="1:14" ht="19.5" customHeight="1">
      <c r="A156" s="1891"/>
      <c r="B156" s="1899"/>
      <c r="C156" s="234">
        <v>2015</v>
      </c>
      <c r="D156" s="217"/>
      <c r="E156" s="178"/>
      <c r="F156" s="218"/>
      <c r="G156" s="213">
        <f t="shared" ref="G156:G161" si="15">SUM(D156:F156)</f>
        <v>0</v>
      </c>
      <c r="H156" s="217"/>
      <c r="I156" s="178"/>
      <c r="J156" s="179"/>
    </row>
    <row r="157" spans="1:14" ht="17.25" customHeight="1">
      <c r="A157" s="1891"/>
      <c r="B157" s="1899"/>
      <c r="C157" s="234">
        <v>2016</v>
      </c>
      <c r="D157" s="217"/>
      <c r="E157" s="178"/>
      <c r="F157" s="218"/>
      <c r="G157" s="213">
        <f t="shared" si="15"/>
        <v>0</v>
      </c>
      <c r="H157" s="217"/>
      <c r="I157" s="178"/>
      <c r="J157" s="179"/>
    </row>
    <row r="158" spans="1:14" ht="15" customHeight="1">
      <c r="A158" s="1891"/>
      <c r="B158" s="1899"/>
      <c r="C158" s="234">
        <v>2017</v>
      </c>
      <c r="D158" s="217"/>
      <c r="E158" s="178"/>
      <c r="F158" s="218"/>
      <c r="G158" s="213">
        <f t="shared" si="15"/>
        <v>0</v>
      </c>
      <c r="H158" s="217"/>
      <c r="I158" s="178"/>
      <c r="J158" s="179"/>
    </row>
    <row r="159" spans="1:14" ht="19.5" customHeight="1">
      <c r="A159" s="1891"/>
      <c r="B159" s="1899"/>
      <c r="C159" s="234">
        <v>2018</v>
      </c>
      <c r="D159" s="217"/>
      <c r="E159" s="178"/>
      <c r="F159" s="218"/>
      <c r="G159" s="213">
        <f t="shared" si="15"/>
        <v>0</v>
      </c>
      <c r="H159" s="217"/>
      <c r="I159" s="178"/>
      <c r="J159" s="179"/>
    </row>
    <row r="160" spans="1:14" ht="15" customHeight="1">
      <c r="A160" s="1891"/>
      <c r="B160" s="1899"/>
      <c r="C160" s="234">
        <v>2019</v>
      </c>
      <c r="D160" s="217"/>
      <c r="E160" s="178"/>
      <c r="F160" s="218"/>
      <c r="G160" s="213">
        <f t="shared" si="15"/>
        <v>0</v>
      </c>
      <c r="H160" s="217"/>
      <c r="I160" s="178"/>
      <c r="J160" s="179"/>
    </row>
    <row r="161" spans="1:18" ht="17.25" customHeight="1">
      <c r="A161" s="1891"/>
      <c r="B161" s="1899"/>
      <c r="C161" s="234">
        <v>2020</v>
      </c>
      <c r="D161" s="217"/>
      <c r="E161" s="178"/>
      <c r="F161" s="218"/>
      <c r="G161" s="213">
        <f t="shared" si="15"/>
        <v>0</v>
      </c>
      <c r="H161" s="217"/>
      <c r="I161" s="178"/>
      <c r="J161" s="179"/>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560"/>
      <c r="F163" s="165"/>
      <c r="G163" s="165"/>
      <c r="H163" s="165"/>
      <c r="I163" s="165"/>
      <c r="J163" s="241"/>
      <c r="K163" s="242"/>
    </row>
    <row r="164" spans="1:18" ht="95.25" customHeight="1">
      <c r="A164" s="243" t="s">
        <v>115</v>
      </c>
      <c r="B164" s="405" t="s">
        <v>181</v>
      </c>
      <c r="C164" s="1567" t="s">
        <v>9</v>
      </c>
      <c r="D164" s="246" t="s">
        <v>117</v>
      </c>
      <c r="E164" s="246" t="s">
        <v>118</v>
      </c>
      <c r="F164" s="561" t="s">
        <v>119</v>
      </c>
      <c r="G164" s="246" t="s">
        <v>120</v>
      </c>
      <c r="H164" s="246" t="s">
        <v>121</v>
      </c>
      <c r="I164" s="248" t="s">
        <v>122</v>
      </c>
      <c r="J164" s="249" t="s">
        <v>123</v>
      </c>
      <c r="K164" s="249" t="s">
        <v>124</v>
      </c>
      <c r="L164" s="1531"/>
    </row>
    <row r="165" spans="1:18" ht="15.75" customHeight="1">
      <c r="A165" s="1878"/>
      <c r="B165" s="1879"/>
      <c r="C165" s="251">
        <v>2014</v>
      </c>
      <c r="D165" s="175"/>
      <c r="E165" s="175"/>
      <c r="F165" s="175"/>
      <c r="G165" s="175"/>
      <c r="H165" s="175"/>
      <c r="I165" s="176"/>
      <c r="J165" s="252">
        <f>SUM(D165,F165,H165)</f>
        <v>0</v>
      </c>
      <c r="K165" s="253">
        <f>SUM(E165,G165,I165)</f>
        <v>0</v>
      </c>
      <c r="L165" s="1531"/>
    </row>
    <row r="166" spans="1:18">
      <c r="A166" s="1880"/>
      <c r="B166" s="1881"/>
      <c r="C166" s="254">
        <v>2015</v>
      </c>
      <c r="D166" s="255"/>
      <c r="E166" s="255"/>
      <c r="F166" s="255"/>
      <c r="G166" s="255"/>
      <c r="H166" s="255"/>
      <c r="I166" s="256"/>
      <c r="J166" s="407">
        <f t="shared" ref="J166:K171" si="17">SUM(D166,F166,H166)</f>
        <v>0</v>
      </c>
      <c r="K166" s="408">
        <f t="shared" si="17"/>
        <v>0</v>
      </c>
      <c r="L166" s="1531"/>
    </row>
    <row r="167" spans="1:18">
      <c r="A167" s="1880"/>
      <c r="B167" s="1881"/>
      <c r="C167" s="254">
        <v>2016</v>
      </c>
      <c r="D167" s="255"/>
      <c r="E167" s="255"/>
      <c r="F167" s="255"/>
      <c r="G167" s="255"/>
      <c r="H167" s="255"/>
      <c r="I167" s="256"/>
      <c r="J167" s="407">
        <f t="shared" si="17"/>
        <v>0</v>
      </c>
      <c r="K167" s="408">
        <f t="shared" si="17"/>
        <v>0</v>
      </c>
    </row>
    <row r="168" spans="1:18">
      <c r="A168" s="1880"/>
      <c r="B168" s="1881"/>
      <c r="C168" s="254">
        <v>2017</v>
      </c>
      <c r="D168" s="255"/>
      <c r="E168" s="165"/>
      <c r="F168" s="255"/>
      <c r="G168" s="255"/>
      <c r="H168" s="255"/>
      <c r="I168" s="256"/>
      <c r="J168" s="407">
        <f t="shared" si="17"/>
        <v>0</v>
      </c>
      <c r="K168" s="408">
        <f t="shared" si="17"/>
        <v>0</v>
      </c>
    </row>
    <row r="169" spans="1:18">
      <c r="A169" s="1880"/>
      <c r="B169" s="1881"/>
      <c r="C169" s="262">
        <v>2018</v>
      </c>
      <c r="D169" s="255"/>
      <c r="E169" s="255"/>
      <c r="F169" s="255"/>
      <c r="G169" s="263"/>
      <c r="H169" s="255"/>
      <c r="I169" s="256"/>
      <c r="J169" s="407">
        <f t="shared" si="17"/>
        <v>0</v>
      </c>
      <c r="K169" s="408">
        <f t="shared" si="17"/>
        <v>0</v>
      </c>
      <c r="L169" s="1531"/>
    </row>
    <row r="170" spans="1:18">
      <c r="A170" s="1880"/>
      <c r="B170" s="1881"/>
      <c r="C170" s="254">
        <v>2019</v>
      </c>
      <c r="D170" s="165"/>
      <c r="E170" s="255"/>
      <c r="F170" s="255"/>
      <c r="G170" s="255"/>
      <c r="H170" s="263"/>
      <c r="I170" s="256"/>
      <c r="J170" s="407">
        <f t="shared" si="17"/>
        <v>0</v>
      </c>
      <c r="K170" s="408">
        <f t="shared" si="17"/>
        <v>0</v>
      </c>
      <c r="L170" s="1531"/>
    </row>
    <row r="171" spans="1:18">
      <c r="A171" s="1880"/>
      <c r="B171" s="1881"/>
      <c r="C171" s="262">
        <v>2020</v>
      </c>
      <c r="D171" s="255"/>
      <c r="E171" s="255"/>
      <c r="F171" s="255"/>
      <c r="G171" s="255"/>
      <c r="H171" s="255"/>
      <c r="I171" s="256"/>
      <c r="J171" s="407">
        <f t="shared" si="17"/>
        <v>0</v>
      </c>
      <c r="K171" s="408">
        <f t="shared" si="17"/>
        <v>0</v>
      </c>
      <c r="L171" s="1531"/>
    </row>
    <row r="172" spans="1:18" ht="41.25" customHeight="1" thickBot="1">
      <c r="A172" s="1882"/>
      <c r="B172" s="1883"/>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1531"/>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039" t="s">
        <v>127</v>
      </c>
      <c r="B176" s="2037" t="s">
        <v>182</v>
      </c>
      <c r="C176" s="2040" t="s">
        <v>9</v>
      </c>
      <c r="D176" s="273" t="s">
        <v>128</v>
      </c>
      <c r="E176" s="562"/>
      <c r="F176" s="562"/>
      <c r="G176" s="563"/>
      <c r="H176" s="276"/>
      <c r="I176" s="1888" t="s">
        <v>129</v>
      </c>
      <c r="J176" s="2041"/>
      <c r="K176" s="2041"/>
      <c r="L176" s="2041"/>
      <c r="M176" s="2041"/>
      <c r="N176" s="2041"/>
      <c r="O176" s="2042"/>
    </row>
    <row r="177" spans="1:24" s="56" customFormat="1" ht="145.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c r="P177"/>
      <c r="Q177"/>
      <c r="R177"/>
      <c r="S177"/>
      <c r="T177"/>
      <c r="U177"/>
      <c r="V177"/>
      <c r="W177"/>
      <c r="X177"/>
    </row>
    <row r="178" spans="1:24" ht="15" customHeight="1">
      <c r="A178" s="1891" t="s">
        <v>552</v>
      </c>
      <c r="B178" s="1899"/>
      <c r="C178" s="106">
        <v>2014</v>
      </c>
      <c r="D178" s="30"/>
      <c r="E178" s="31"/>
      <c r="F178" s="31"/>
      <c r="G178" s="284">
        <f>SUM(D178:F178)</f>
        <v>0</v>
      </c>
      <c r="H178" s="155"/>
      <c r="I178" s="155"/>
      <c r="J178" s="31"/>
      <c r="K178" s="31"/>
      <c r="L178" s="31"/>
      <c r="M178" s="31"/>
      <c r="N178" s="31"/>
      <c r="O178" s="34"/>
    </row>
    <row r="179" spans="1:24">
      <c r="A179" s="1891"/>
      <c r="B179" s="1899"/>
      <c r="C179" s="110">
        <v>2015</v>
      </c>
      <c r="D179" s="37"/>
      <c r="E179" s="38"/>
      <c r="F179" s="38"/>
      <c r="G179" s="284">
        <f t="shared" ref="G179:G184" si="19">SUM(D179:F179)</f>
        <v>0</v>
      </c>
      <c r="H179" s="411"/>
      <c r="I179" s="112"/>
      <c r="J179" s="38"/>
      <c r="K179" s="38"/>
      <c r="L179" s="38"/>
      <c r="M179" s="38"/>
      <c r="N179" s="38"/>
      <c r="O179" s="88"/>
    </row>
    <row r="180" spans="1:24">
      <c r="A180" s="1891"/>
      <c r="B180" s="1899"/>
      <c r="C180" s="110">
        <v>2016</v>
      </c>
      <c r="D180" s="37">
        <v>3</v>
      </c>
      <c r="E180" s="38">
        <v>4</v>
      </c>
      <c r="F180" s="38"/>
      <c r="G180" s="284">
        <v>7</v>
      </c>
      <c r="H180" s="411">
        <v>15</v>
      </c>
      <c r="I180" s="112">
        <v>5</v>
      </c>
      <c r="J180" s="38"/>
      <c r="K180" s="38"/>
      <c r="L180" s="38"/>
      <c r="M180" s="38"/>
      <c r="N180" s="38"/>
      <c r="O180" s="88">
        <v>2</v>
      </c>
    </row>
    <row r="181" spans="1:24">
      <c r="A181" s="1891"/>
      <c r="B181" s="1899"/>
      <c r="C181" s="110">
        <v>2017</v>
      </c>
      <c r="D181" s="37">
        <v>3</v>
      </c>
      <c r="E181" s="38">
        <v>3</v>
      </c>
      <c r="F181" s="38"/>
      <c r="G181" s="284">
        <f t="shared" si="19"/>
        <v>6</v>
      </c>
      <c r="H181" s="411">
        <v>7</v>
      </c>
      <c r="I181" s="112">
        <v>6</v>
      </c>
      <c r="J181" s="38"/>
      <c r="K181" s="38"/>
      <c r="L181" s="38"/>
      <c r="M181" s="38"/>
      <c r="N181" s="38"/>
      <c r="O181" s="88"/>
    </row>
    <row r="182" spans="1:24">
      <c r="A182" s="1891"/>
      <c r="B182" s="1899"/>
      <c r="C182" s="110">
        <v>2018</v>
      </c>
      <c r="D182" s="37"/>
      <c r="E182" s="38"/>
      <c r="F182" s="38"/>
      <c r="G182" s="284">
        <f t="shared" si="19"/>
        <v>0</v>
      </c>
      <c r="H182" s="411"/>
      <c r="I182" s="112"/>
      <c r="J182" s="38"/>
      <c r="K182" s="38"/>
      <c r="L182" s="38"/>
      <c r="M182" s="38"/>
      <c r="N182" s="38"/>
      <c r="O182" s="88"/>
    </row>
    <row r="183" spans="1:24">
      <c r="A183" s="1891"/>
      <c r="B183" s="1899"/>
      <c r="C183" s="110">
        <v>2019</v>
      </c>
      <c r="D183" s="37"/>
      <c r="E183" s="38"/>
      <c r="F183" s="38"/>
      <c r="G183" s="284">
        <f t="shared" si="19"/>
        <v>0</v>
      </c>
      <c r="H183" s="411"/>
      <c r="I183" s="112"/>
      <c r="J183" s="38"/>
      <c r="K183" s="38"/>
      <c r="L183" s="38"/>
      <c r="M183" s="38"/>
      <c r="N183" s="38"/>
      <c r="O183" s="88"/>
      <c r="P183" s="199"/>
      <c r="Q183" s="199"/>
      <c r="R183" s="198"/>
      <c r="S183" s="65"/>
      <c r="T183" s="65"/>
      <c r="U183" s="65"/>
      <c r="V183" s="65"/>
      <c r="W183" s="65"/>
      <c r="X183" s="65"/>
    </row>
    <row r="184" spans="1:24">
      <c r="A184" s="1891"/>
      <c r="B184" s="1899"/>
      <c r="C184" s="110">
        <v>2020</v>
      </c>
      <c r="D184" s="37"/>
      <c r="E184" s="38"/>
      <c r="F184" s="38"/>
      <c r="G184" s="284">
        <f t="shared" si="19"/>
        <v>0</v>
      </c>
      <c r="H184" s="411"/>
      <c r="I184" s="112"/>
      <c r="J184" s="38"/>
      <c r="K184" s="38"/>
      <c r="L184" s="38"/>
      <c r="M184" s="38"/>
      <c r="N184" s="38"/>
      <c r="O184" s="88"/>
    </row>
    <row r="185" spans="1:24" ht="45" customHeight="1" thickBot="1">
      <c r="A185" s="1893"/>
      <c r="B185" s="1900"/>
      <c r="C185" s="113" t="s">
        <v>13</v>
      </c>
      <c r="D185" s="139">
        <f>SUM(D178:D184)</f>
        <v>6</v>
      </c>
      <c r="E185" s="116">
        <f>SUM(E178:E184)</f>
        <v>7</v>
      </c>
      <c r="F185" s="116">
        <f>SUM(F178:F184)</f>
        <v>0</v>
      </c>
      <c r="G185" s="220">
        <f t="shared" ref="G185:O185" si="20">SUM(G178:G184)</f>
        <v>13</v>
      </c>
      <c r="H185" s="285">
        <f t="shared" si="20"/>
        <v>22</v>
      </c>
      <c r="I185" s="115">
        <f t="shared" si="20"/>
        <v>11</v>
      </c>
      <c r="J185" s="116">
        <f t="shared" si="20"/>
        <v>0</v>
      </c>
      <c r="K185" s="116">
        <f t="shared" si="20"/>
        <v>0</v>
      </c>
      <c r="L185" s="116">
        <f t="shared" si="20"/>
        <v>0</v>
      </c>
      <c r="M185" s="116">
        <f t="shared" si="20"/>
        <v>0</v>
      </c>
      <c r="N185" s="116">
        <f t="shared" si="20"/>
        <v>0</v>
      </c>
      <c r="O185" s="117">
        <f t="shared" si="20"/>
        <v>2</v>
      </c>
    </row>
    <row r="186" spans="1:24" ht="33" customHeight="1" thickBot="1"/>
    <row r="187" spans="1:24" ht="19.5" customHeight="1">
      <c r="A187" s="1861" t="s">
        <v>137</v>
      </c>
      <c r="B187" s="2037" t="s">
        <v>182</v>
      </c>
      <c r="C187" s="1865" t="s">
        <v>9</v>
      </c>
      <c r="D187" s="1867" t="s">
        <v>138</v>
      </c>
      <c r="E187" s="2038"/>
      <c r="F187" s="2038"/>
      <c r="G187" s="1869"/>
      <c r="H187" s="1870" t="s">
        <v>139</v>
      </c>
      <c r="I187" s="1865"/>
      <c r="J187" s="1865"/>
      <c r="K187" s="1865"/>
      <c r="L187" s="1871"/>
    </row>
    <row r="188" spans="1:24"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24" ht="15" customHeight="1">
      <c r="A189" s="1872" t="s">
        <v>553</v>
      </c>
      <c r="B189" s="1977"/>
      <c r="C189" s="290">
        <v>2014</v>
      </c>
      <c r="D189" s="133"/>
      <c r="E189" s="109"/>
      <c r="F189" s="109"/>
      <c r="G189" s="291">
        <f>SUM(D189:F189)</f>
        <v>0</v>
      </c>
      <c r="H189" s="108"/>
      <c r="I189" s="109"/>
      <c r="J189" s="109"/>
      <c r="K189" s="109"/>
      <c r="L189" s="134"/>
    </row>
    <row r="190" spans="1:24">
      <c r="A190" s="1978"/>
      <c r="B190" s="1855"/>
      <c r="C190" s="73">
        <v>2015</v>
      </c>
      <c r="D190" s="37"/>
      <c r="E190" s="38"/>
      <c r="F190" s="38"/>
      <c r="G190" s="291">
        <f t="shared" ref="G190:G195" si="21">SUM(D190:F190)</f>
        <v>0</v>
      </c>
      <c r="H190" s="112"/>
      <c r="I190" s="38"/>
      <c r="J190" s="38"/>
      <c r="K190" s="38"/>
      <c r="L190" s="88"/>
    </row>
    <row r="191" spans="1:24">
      <c r="A191" s="1978"/>
      <c r="B191" s="1855"/>
      <c r="C191" s="73">
        <v>2016</v>
      </c>
      <c r="D191" s="37">
        <v>203</v>
      </c>
      <c r="E191" s="38">
        <v>112</v>
      </c>
      <c r="F191" s="38"/>
      <c r="G191" s="291">
        <f t="shared" si="21"/>
        <v>315</v>
      </c>
      <c r="H191" s="112">
        <v>3</v>
      </c>
      <c r="I191" s="38">
        <v>0</v>
      </c>
      <c r="J191" s="38">
        <v>102</v>
      </c>
      <c r="K191" s="38">
        <v>19</v>
      </c>
      <c r="L191" s="88">
        <v>191</v>
      </c>
    </row>
    <row r="192" spans="1:24">
      <c r="A192" s="1978"/>
      <c r="B192" s="1855"/>
      <c r="C192" s="73">
        <v>2017</v>
      </c>
      <c r="D192" s="37">
        <v>111</v>
      </c>
      <c r="E192" s="38">
        <v>96</v>
      </c>
      <c r="F192" s="38"/>
      <c r="G192" s="291">
        <f t="shared" si="21"/>
        <v>207</v>
      </c>
      <c r="H192" s="112">
        <v>0</v>
      </c>
      <c r="I192" s="38">
        <v>0</v>
      </c>
      <c r="J192" s="38">
        <v>55</v>
      </c>
      <c r="K192" s="38">
        <v>13</v>
      </c>
      <c r="L192" s="88">
        <v>139</v>
      </c>
      <c r="P192" s="199"/>
      <c r="Q192" s="199"/>
      <c r="R192" s="198"/>
      <c r="S192" s="65"/>
      <c r="T192" s="65"/>
      <c r="U192" s="65"/>
      <c r="V192" s="65"/>
      <c r="W192" s="65"/>
      <c r="X192" s="65"/>
    </row>
    <row r="193" spans="1:14">
      <c r="A193" s="1978"/>
      <c r="B193" s="1855"/>
      <c r="C193" s="73">
        <v>2018</v>
      </c>
      <c r="D193" s="37"/>
      <c r="E193" s="38"/>
      <c r="F193" s="38"/>
      <c r="G193" s="291">
        <f t="shared" si="21"/>
        <v>0</v>
      </c>
      <c r="H193" s="112"/>
      <c r="I193" s="38"/>
      <c r="J193" s="38"/>
      <c r="K193" s="38"/>
      <c r="L193" s="88"/>
    </row>
    <row r="194" spans="1:14">
      <c r="A194" s="1978"/>
      <c r="B194" s="1855"/>
      <c r="C194" s="73">
        <v>2019</v>
      </c>
      <c r="D194" s="37"/>
      <c r="E194" s="38"/>
      <c r="F194" s="38"/>
      <c r="G194" s="291">
        <f t="shared" si="21"/>
        <v>0</v>
      </c>
      <c r="H194" s="112"/>
      <c r="I194" s="38"/>
      <c r="J194" s="38"/>
      <c r="K194" s="38"/>
      <c r="L194" s="88"/>
    </row>
    <row r="195" spans="1:14">
      <c r="A195" s="1978"/>
      <c r="B195" s="1855"/>
      <c r="C195" s="73">
        <v>2020</v>
      </c>
      <c r="D195" s="37"/>
      <c r="E195" s="38"/>
      <c r="F195" s="38"/>
      <c r="G195" s="291">
        <f t="shared" si="21"/>
        <v>0</v>
      </c>
      <c r="H195" s="112"/>
      <c r="I195" s="38"/>
      <c r="J195" s="38"/>
      <c r="K195" s="38"/>
      <c r="L195" s="88"/>
    </row>
    <row r="196" spans="1:14" ht="15.75" thickBot="1">
      <c r="A196" s="1979"/>
      <c r="B196" s="1857"/>
      <c r="C196" s="136" t="s">
        <v>13</v>
      </c>
      <c r="D196" s="139">
        <f t="shared" ref="D196:L196" si="22">SUM(D189:D195)</f>
        <v>314</v>
      </c>
      <c r="E196" s="116">
        <f t="shared" si="22"/>
        <v>208</v>
      </c>
      <c r="F196" s="116"/>
      <c r="G196" s="292">
        <f t="shared" si="22"/>
        <v>522</v>
      </c>
      <c r="H196" s="115">
        <f t="shared" si="22"/>
        <v>3</v>
      </c>
      <c r="I196" s="116">
        <f t="shared" si="22"/>
        <v>0</v>
      </c>
      <c r="J196" s="116">
        <f t="shared" si="22"/>
        <v>157</v>
      </c>
      <c r="K196" s="116">
        <f t="shared" si="22"/>
        <v>32</v>
      </c>
      <c r="L196" s="117">
        <f t="shared" si="22"/>
        <v>330</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569" t="s">
        <v>150</v>
      </c>
      <c r="B201" s="417" t="s">
        <v>182</v>
      </c>
      <c r="C201" s="298" t="s">
        <v>9</v>
      </c>
      <c r="D201" s="299" t="s">
        <v>151</v>
      </c>
      <c r="E201" s="300" t="s">
        <v>152</v>
      </c>
      <c r="F201" s="300" t="s">
        <v>153</v>
      </c>
      <c r="G201" s="298" t="s">
        <v>154</v>
      </c>
      <c r="H201" s="570" t="s">
        <v>155</v>
      </c>
      <c r="I201" s="302" t="s">
        <v>156</v>
      </c>
      <c r="J201" s="303" t="s">
        <v>157</v>
      </c>
      <c r="K201" s="300" t="s">
        <v>158</v>
      </c>
      <c r="L201" s="304" t="s">
        <v>159</v>
      </c>
    </row>
    <row r="202" spans="1:14" ht="15" customHeight="1">
      <c r="A202" s="1854"/>
      <c r="B202" s="1855"/>
      <c r="C202" s="72">
        <v>2014</v>
      </c>
      <c r="D202" s="30"/>
      <c r="E202" s="31"/>
      <c r="F202" s="31"/>
      <c r="G202" s="29"/>
      <c r="H202" s="305"/>
      <c r="I202" s="306"/>
      <c r="J202" s="307"/>
      <c r="K202" s="31"/>
      <c r="L202" s="34"/>
    </row>
    <row r="203" spans="1:14">
      <c r="A203" s="1854"/>
      <c r="B203" s="1855"/>
      <c r="C203" s="73">
        <v>2015</v>
      </c>
      <c r="D203" s="37"/>
      <c r="E203" s="38"/>
      <c r="F203" s="38"/>
      <c r="G203" s="36"/>
      <c r="H203" s="308"/>
      <c r="I203" s="309"/>
      <c r="J203" s="310"/>
      <c r="K203" s="38"/>
      <c r="L203" s="88"/>
    </row>
    <row r="204" spans="1:14">
      <c r="A204" s="1854"/>
      <c r="B204" s="1855"/>
      <c r="C204" s="73">
        <v>2016</v>
      </c>
      <c r="D204" s="37"/>
      <c r="E204" s="38"/>
      <c r="F204" s="38"/>
      <c r="G204" s="36"/>
      <c r="H204" s="308"/>
      <c r="I204" s="309"/>
      <c r="J204" s="310"/>
      <c r="K204" s="38"/>
      <c r="L204" s="88"/>
    </row>
    <row r="205" spans="1:14">
      <c r="A205" s="1854"/>
      <c r="B205" s="1855"/>
      <c r="C205" s="73">
        <v>2017</v>
      </c>
      <c r="D205" s="37"/>
      <c r="E205" s="38"/>
      <c r="F205" s="38"/>
      <c r="G205" s="36"/>
      <c r="H205" s="308"/>
      <c r="I205" s="309"/>
      <c r="J205" s="310"/>
      <c r="K205" s="38"/>
      <c r="L205" s="88"/>
    </row>
    <row r="206" spans="1:14">
      <c r="A206" s="1854"/>
      <c r="B206" s="1855"/>
      <c r="C206" s="73">
        <v>2018</v>
      </c>
      <c r="D206" s="37"/>
      <c r="E206" s="38"/>
      <c r="F206" s="38"/>
      <c r="G206" s="36"/>
      <c r="H206" s="308"/>
      <c r="I206" s="309"/>
      <c r="J206" s="310"/>
      <c r="K206" s="38"/>
      <c r="L206" s="88"/>
    </row>
    <row r="207" spans="1:14">
      <c r="A207" s="1854"/>
      <c r="B207" s="1855"/>
      <c r="C207" s="73">
        <v>2019</v>
      </c>
      <c r="D207" s="37"/>
      <c r="E207" s="38"/>
      <c r="F207" s="38"/>
      <c r="G207" s="36"/>
      <c r="H207" s="308"/>
      <c r="I207" s="309"/>
      <c r="J207" s="310"/>
      <c r="K207" s="38"/>
      <c r="L207" s="88"/>
    </row>
    <row r="208" spans="1:14">
      <c r="A208" s="1854"/>
      <c r="B208" s="1855"/>
      <c r="C208" s="73">
        <v>2020</v>
      </c>
      <c r="D208" s="1533"/>
      <c r="E208" s="312"/>
      <c r="F208" s="312"/>
      <c r="G208" s="313"/>
      <c r="H208" s="314"/>
      <c r="I208" s="315"/>
      <c r="J208" s="316"/>
      <c r="K208" s="312"/>
      <c r="L208" s="317"/>
    </row>
    <row r="209" spans="1:14" ht="20.25" customHeight="1" thickBot="1">
      <c r="A209" s="1856"/>
      <c r="B209" s="1857"/>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0</v>
      </c>
      <c r="K209" s="139">
        <f t="shared" si="23"/>
        <v>0</v>
      </c>
      <c r="L209" s="220">
        <f t="shared" si="23"/>
        <v>0</v>
      </c>
    </row>
    <row r="211" spans="1:14" ht="15.75" thickBot="1"/>
    <row r="212" spans="1:14" ht="29.25">
      <c r="A212" s="571" t="s">
        <v>161</v>
      </c>
      <c r="B212" s="322" t="s">
        <v>162</v>
      </c>
      <c r="C212" s="323">
        <v>2014</v>
      </c>
      <c r="D212" s="324">
        <v>2015</v>
      </c>
      <c r="E212" s="324">
        <v>2016</v>
      </c>
      <c r="F212" s="324">
        <v>2017</v>
      </c>
      <c r="G212" s="324">
        <v>2018</v>
      </c>
      <c r="H212" s="324">
        <v>2019</v>
      </c>
      <c r="I212" s="325">
        <v>2020</v>
      </c>
    </row>
    <row r="213" spans="1:14" ht="15" customHeight="1">
      <c r="A213" s="1531" t="s">
        <v>163</v>
      </c>
      <c r="B213" s="1973" t="s">
        <v>554</v>
      </c>
      <c r="C213" s="72"/>
      <c r="D213" s="1031">
        <v>9057.92</v>
      </c>
      <c r="E213" s="1031">
        <v>153429.97</v>
      </c>
      <c r="F213" s="1031">
        <f>SUM(F214:F217)</f>
        <v>73556.87</v>
      </c>
      <c r="G213" s="1031"/>
      <c r="H213" s="1031"/>
      <c r="I213" s="1730"/>
      <c r="J213">
        <f>SUM(D213:F213)</f>
        <v>236044.76</v>
      </c>
    </row>
    <row r="214" spans="1:14">
      <c r="A214" s="1531" t="s">
        <v>164</v>
      </c>
      <c r="B214" s="1974"/>
      <c r="C214" s="72"/>
      <c r="D214" s="1031">
        <v>9057.92</v>
      </c>
      <c r="E214" s="1031">
        <v>32056.34</v>
      </c>
      <c r="F214" s="1031">
        <v>29628.07</v>
      </c>
      <c r="G214" s="1031"/>
      <c r="H214" s="1031"/>
      <c r="I214" s="1730"/>
    </row>
    <row r="215" spans="1:14">
      <c r="A215" s="1531" t="s">
        <v>165</v>
      </c>
      <c r="B215" s="1974"/>
      <c r="C215" s="72"/>
      <c r="D215" s="1031"/>
      <c r="E215" s="1031"/>
      <c r="F215" s="1031"/>
      <c r="G215" s="1031"/>
      <c r="H215" s="1031"/>
      <c r="I215" s="1730"/>
    </row>
    <row r="216" spans="1:14">
      <c r="A216" s="1531" t="s">
        <v>166</v>
      </c>
      <c r="B216" s="1974"/>
      <c r="C216" s="72"/>
      <c r="D216" s="1031"/>
      <c r="E216" s="1031"/>
      <c r="F216" s="1031"/>
      <c r="G216" s="1031"/>
      <c r="H216" s="1031"/>
      <c r="I216" s="1730"/>
    </row>
    <row r="217" spans="1:14" ht="72.75" customHeight="1">
      <c r="A217" s="1531" t="s">
        <v>167</v>
      </c>
      <c r="B217" s="1974"/>
      <c r="C217" s="72"/>
      <c r="D217" s="1031"/>
      <c r="E217" s="1031">
        <v>121373.63</v>
      </c>
      <c r="F217" s="1731">
        <v>43928.800000000003</v>
      </c>
      <c r="G217" s="1031"/>
      <c r="H217" s="1031"/>
      <c r="I217" s="1730"/>
    </row>
    <row r="218" spans="1:14" ht="30">
      <c r="A218" s="448" t="s">
        <v>168</v>
      </c>
      <c r="B218" s="1974"/>
      <c r="C218" s="72"/>
      <c r="D218" s="1031">
        <v>91892.85</v>
      </c>
      <c r="E218" s="1031">
        <v>101706.53</v>
      </c>
      <c r="F218" s="1031">
        <v>117121.79</v>
      </c>
      <c r="G218" s="1031"/>
      <c r="H218" s="1031"/>
      <c r="I218" s="1730"/>
    </row>
    <row r="219" spans="1:14" ht="15.75" thickBot="1">
      <c r="A219" s="449"/>
      <c r="B219" s="1975"/>
      <c r="C219" s="42" t="s">
        <v>13</v>
      </c>
      <c r="D219" s="333">
        <f>SUM(D214:D218)</f>
        <v>100950.77</v>
      </c>
      <c r="E219" s="333">
        <f t="shared" ref="E219:I219" si="24">SUM(E214:E218)</f>
        <v>255136.5</v>
      </c>
      <c r="F219" s="1617">
        <f t="shared" si="24"/>
        <v>190678.65999999997</v>
      </c>
      <c r="G219" s="333">
        <f t="shared" si="24"/>
        <v>0</v>
      </c>
      <c r="H219" s="333">
        <f t="shared" si="24"/>
        <v>0</v>
      </c>
      <c r="I219" s="451">
        <f t="shared" si="24"/>
        <v>0</v>
      </c>
    </row>
    <row r="220" spans="1:14">
      <c r="N220" s="7"/>
    </row>
    <row r="221" spans="1:14" ht="49.5" customHeight="1">
      <c r="A221" s="7"/>
      <c r="B221" s="7"/>
      <c r="C221" s="7"/>
      <c r="D221" s="7"/>
      <c r="E221" s="7"/>
      <c r="F221" s="7"/>
      <c r="G221" s="7"/>
      <c r="H221" s="7"/>
      <c r="I221" s="7"/>
      <c r="J221" s="7"/>
      <c r="K221" s="7"/>
      <c r="L221" s="7"/>
      <c r="M221" s="7"/>
      <c r="N221" s="7"/>
    </row>
    <row r="222" spans="1:14">
      <c r="A222" s="7"/>
      <c r="B222" s="7"/>
      <c r="C222" s="7"/>
      <c r="D222" s="7"/>
      <c r="E222" s="7"/>
      <c r="F222" s="7"/>
      <c r="G222" s="7"/>
      <c r="H222" s="7"/>
      <c r="I222" s="7"/>
      <c r="J222" s="7"/>
      <c r="K222" s="7"/>
      <c r="L222" s="7"/>
      <c r="M222" s="7"/>
      <c r="N222" s="7"/>
    </row>
    <row r="223" spans="1:14">
      <c r="A223" s="7"/>
      <c r="B223" s="7"/>
      <c r="C223" s="7"/>
      <c r="D223" s="7"/>
      <c r="E223" s="7"/>
      <c r="F223" s="7"/>
      <c r="G223" s="7"/>
      <c r="H223" s="7"/>
      <c r="I223" s="7"/>
      <c r="J223" s="7"/>
      <c r="K223" s="7"/>
      <c r="L223" s="7"/>
      <c r="M223" s="7"/>
      <c r="N223" s="7"/>
    </row>
    <row r="224" spans="1:14">
      <c r="A224" s="7"/>
      <c r="B224" s="7"/>
      <c r="C224" s="7"/>
      <c r="D224" s="7"/>
      <c r="E224" s="7"/>
      <c r="F224" s="7"/>
      <c r="G224" s="7"/>
      <c r="H224" s="7"/>
      <c r="I224" s="7"/>
      <c r="J224" s="7"/>
      <c r="K224" s="7"/>
      <c r="L224" s="7"/>
      <c r="M224" s="7"/>
      <c r="N224" s="7"/>
    </row>
    <row r="225" spans="1:22">
      <c r="A225" s="7"/>
      <c r="B225" s="7"/>
      <c r="C225" s="7"/>
      <c r="D225" s="7"/>
      <c r="E225" s="7"/>
      <c r="F225" s="7"/>
      <c r="G225" s="7"/>
      <c r="H225" s="7"/>
      <c r="I225" s="7"/>
      <c r="J225" s="7"/>
      <c r="K225" s="7"/>
      <c r="L225" s="7"/>
      <c r="M225" s="7"/>
      <c r="N225" s="7"/>
    </row>
    <row r="226" spans="1:22" ht="24.75" customHeight="1">
      <c r="A226" s="7"/>
      <c r="B226" s="7"/>
      <c r="C226" s="7"/>
      <c r="D226" s="7"/>
      <c r="E226" s="7"/>
      <c r="F226" s="7"/>
      <c r="G226" s="7"/>
      <c r="H226" s="7"/>
      <c r="I226" s="7"/>
      <c r="J226" s="7"/>
      <c r="K226" s="7"/>
      <c r="L226" s="7"/>
      <c r="M226" s="7"/>
      <c r="N226" s="7"/>
    </row>
    <row r="227" spans="1:22">
      <c r="A227" s="7"/>
      <c r="B227" s="7"/>
      <c r="C227" s="7"/>
      <c r="D227" s="7"/>
      <c r="E227" s="7"/>
      <c r="F227" s="7"/>
      <c r="G227" s="7"/>
      <c r="H227" s="7"/>
      <c r="I227" s="7"/>
      <c r="J227" s="7"/>
      <c r="K227" s="7"/>
      <c r="L227" s="7"/>
      <c r="M227" s="7"/>
      <c r="N227" s="7"/>
    </row>
    <row r="228" spans="1:22">
      <c r="A228" s="7"/>
      <c r="B228" s="7"/>
      <c r="C228" s="7"/>
      <c r="D228" s="7"/>
      <c r="E228" s="7"/>
      <c r="F228" s="7"/>
      <c r="G228" s="7"/>
      <c r="H228" s="7"/>
      <c r="I228" s="7"/>
      <c r="J228" s="7"/>
      <c r="K228" s="7"/>
      <c r="L228" s="7"/>
      <c r="M228" s="7"/>
      <c r="N228" s="7"/>
    </row>
    <row r="229" spans="1:22">
      <c r="A229" s="7"/>
      <c r="B229" s="7"/>
      <c r="C229" s="7"/>
      <c r="D229" s="7"/>
      <c r="E229" s="7"/>
      <c r="F229" s="7"/>
      <c r="G229" s="7"/>
      <c r="H229" s="7"/>
      <c r="I229" s="7"/>
      <c r="J229" s="7"/>
      <c r="K229" s="7"/>
      <c r="L229" s="7"/>
      <c r="M229" s="7"/>
      <c r="N229" s="7"/>
    </row>
    <row r="230" spans="1:22">
      <c r="A230" s="7"/>
      <c r="B230" s="7"/>
      <c r="C230" s="7"/>
      <c r="D230" s="7"/>
      <c r="E230" s="7"/>
      <c r="F230" s="7"/>
      <c r="G230" s="7"/>
      <c r="H230" s="7"/>
      <c r="I230" s="7"/>
      <c r="J230" s="7"/>
      <c r="K230" s="7"/>
      <c r="L230" s="7"/>
      <c r="M230" s="7"/>
      <c r="N230" s="7"/>
    </row>
    <row r="231" spans="1:22">
      <c r="A231" s="7"/>
      <c r="B231" s="7"/>
      <c r="C231" s="7"/>
      <c r="D231" s="7"/>
      <c r="E231" s="7"/>
      <c r="F231" s="7"/>
      <c r="G231" s="7"/>
      <c r="H231" s="7"/>
      <c r="I231" s="7"/>
      <c r="J231" s="7"/>
      <c r="K231" s="7"/>
      <c r="L231" s="7"/>
      <c r="M231" s="7"/>
      <c r="N231" s="7"/>
    </row>
    <row r="232" spans="1:22">
      <c r="A232" s="7"/>
      <c r="B232" s="7"/>
      <c r="C232" s="7"/>
      <c r="D232" s="7"/>
      <c r="E232" s="7"/>
      <c r="F232" s="7"/>
      <c r="G232" s="7"/>
      <c r="H232" s="7"/>
      <c r="I232" s="7"/>
      <c r="J232" s="7"/>
      <c r="K232" s="7"/>
      <c r="L232" s="7"/>
      <c r="M232" s="7"/>
      <c r="N232" s="7"/>
      <c r="Q232" s="1732"/>
      <c r="R232" s="1732"/>
      <c r="S232" s="1732"/>
      <c r="T232" s="160"/>
      <c r="U232" s="160"/>
      <c r="V232" s="160"/>
    </row>
    <row r="233" spans="1:22">
      <c r="A233" s="7"/>
      <c r="B233" s="7"/>
      <c r="C233" s="7"/>
      <c r="D233" s="7"/>
      <c r="E233" s="7"/>
      <c r="F233" s="7"/>
      <c r="G233" s="7"/>
      <c r="H233" s="7"/>
      <c r="I233" s="7"/>
      <c r="J233" s="7"/>
      <c r="K233" s="7"/>
      <c r="L233" s="7"/>
      <c r="M233" s="7"/>
      <c r="N233" s="7"/>
    </row>
    <row r="234" spans="1:22">
      <c r="A234" s="7"/>
      <c r="B234" s="7"/>
      <c r="C234" s="7"/>
      <c r="D234" s="7"/>
      <c r="E234" s="7"/>
      <c r="F234" s="7"/>
      <c r="G234" s="7"/>
      <c r="H234" s="7"/>
      <c r="I234" s="7"/>
      <c r="J234" s="7"/>
      <c r="K234" s="7"/>
      <c r="L234" s="7"/>
      <c r="M234" s="7"/>
      <c r="N234" s="7"/>
    </row>
    <row r="235" spans="1:22">
      <c r="A235" s="7"/>
      <c r="B235" s="7"/>
      <c r="C235" s="7"/>
      <c r="D235" s="7"/>
      <c r="E235" s="7"/>
      <c r="F235" s="7"/>
      <c r="G235" s="7"/>
      <c r="H235" s="7"/>
      <c r="I235" s="7"/>
      <c r="J235" s="7"/>
      <c r="K235" s="7"/>
      <c r="L235" s="7"/>
      <c r="M235" s="7"/>
      <c r="N235" s="7"/>
    </row>
    <row r="236" spans="1:22">
      <c r="A236" s="7"/>
      <c r="B236" s="7"/>
      <c r="C236" s="7"/>
      <c r="D236" s="7"/>
      <c r="E236" s="7"/>
      <c r="F236" s="7"/>
      <c r="G236" s="7"/>
      <c r="H236" s="7"/>
      <c r="I236" s="7"/>
      <c r="J236" s="7"/>
      <c r="K236" s="7"/>
      <c r="L236" s="7"/>
      <c r="M236" s="7"/>
      <c r="N236" s="7"/>
    </row>
    <row r="237" spans="1:22">
      <c r="A237" s="7"/>
      <c r="B237" s="7"/>
      <c r="C237" s="7"/>
      <c r="D237" s="7"/>
      <c r="E237" s="7"/>
      <c r="F237" s="7"/>
      <c r="G237" s="7"/>
      <c r="H237" s="7"/>
      <c r="I237" s="7"/>
      <c r="J237" s="7"/>
      <c r="K237" s="7"/>
      <c r="L237" s="7"/>
      <c r="M237" s="7"/>
      <c r="N237" s="7"/>
    </row>
    <row r="238" spans="1:22">
      <c r="A238" s="7"/>
      <c r="B238" s="7"/>
      <c r="C238" s="7"/>
      <c r="D238" s="7"/>
      <c r="E238" s="7"/>
      <c r="F238" s="7"/>
      <c r="G238" s="7"/>
      <c r="H238" s="7"/>
      <c r="I238" s="7"/>
      <c r="J238" s="7"/>
      <c r="K238" s="7"/>
      <c r="L238" s="7"/>
      <c r="M238" s="7"/>
      <c r="N238" s="7"/>
    </row>
    <row r="239" spans="1:22" ht="40.5" customHeight="1">
      <c r="A239" s="7"/>
      <c r="B239" s="7"/>
      <c r="C239" s="7"/>
      <c r="D239" s="7"/>
      <c r="E239" s="7"/>
      <c r="F239" s="7"/>
      <c r="G239" s="7"/>
      <c r="H239" s="7"/>
      <c r="I239" s="7"/>
      <c r="J239" s="7"/>
      <c r="K239" s="7"/>
      <c r="L239" s="7"/>
      <c r="M239" s="7"/>
      <c r="N239" s="7"/>
    </row>
    <row r="240" spans="1:22">
      <c r="A240" s="7"/>
      <c r="B240" s="7"/>
      <c r="C240" s="7"/>
      <c r="D240" s="7"/>
      <c r="E240" s="7"/>
      <c r="F240" s="7"/>
      <c r="G240" s="7"/>
      <c r="H240" s="7"/>
      <c r="I240" s="7"/>
      <c r="J240" s="7"/>
      <c r="K240" s="7"/>
      <c r="L240" s="7"/>
      <c r="M240" s="7"/>
      <c r="N240" s="7"/>
    </row>
    <row r="241" spans="1:14">
      <c r="A241" s="7"/>
      <c r="B241" s="7"/>
      <c r="C241" s="7"/>
      <c r="D241" s="7"/>
      <c r="E241" s="7"/>
      <c r="F241" s="7"/>
      <c r="G241" s="7"/>
      <c r="H241" s="7"/>
      <c r="I241" s="7"/>
      <c r="J241" s="7"/>
      <c r="K241" s="7"/>
      <c r="L241" s="7"/>
      <c r="M241" s="7"/>
      <c r="N241" s="7"/>
    </row>
    <row r="242" spans="1:14">
      <c r="A242" s="7"/>
      <c r="B242" s="7"/>
      <c r="C242" s="7"/>
      <c r="D242" s="7"/>
      <c r="E242" s="7"/>
      <c r="F242" s="7"/>
      <c r="G242" s="7"/>
      <c r="H242" s="7"/>
      <c r="I242" s="7"/>
      <c r="J242" s="7"/>
      <c r="K242" s="7"/>
      <c r="L242" s="7"/>
      <c r="M242" s="7"/>
      <c r="N242" s="7"/>
    </row>
    <row r="243" spans="1:14">
      <c r="A243" s="7"/>
      <c r="B243" s="7"/>
      <c r="C243" s="7"/>
      <c r="D243" s="7"/>
      <c r="E243" s="7"/>
      <c r="F243" s="7"/>
      <c r="G243" s="7"/>
      <c r="H243" s="7"/>
      <c r="I243" s="7"/>
      <c r="J243" s="7"/>
      <c r="K243" s="7"/>
      <c r="L243" s="7"/>
      <c r="M243" s="7"/>
      <c r="N243" s="7"/>
    </row>
    <row r="244" spans="1:14">
      <c r="A244" s="7"/>
      <c r="B244" s="7"/>
      <c r="C244" s="7"/>
      <c r="D244" s="7"/>
      <c r="E244" s="7"/>
      <c r="F244" s="7"/>
      <c r="G244" s="7"/>
      <c r="H244" s="7"/>
      <c r="I244" s="7"/>
      <c r="J244" s="7"/>
      <c r="K244" s="7"/>
      <c r="L244" s="7"/>
      <c r="M244" s="7"/>
      <c r="N244" s="7"/>
    </row>
    <row r="245" spans="1:14">
      <c r="A245" s="7"/>
      <c r="B245" s="7"/>
      <c r="C245" s="7"/>
      <c r="D245" s="7"/>
      <c r="E245" s="7"/>
      <c r="F245" s="7"/>
      <c r="G245" s="7"/>
      <c r="H245" s="7"/>
      <c r="I245" s="7"/>
      <c r="J245" s="7"/>
      <c r="K245" s="7"/>
      <c r="L245" s="7"/>
      <c r="M245" s="7"/>
      <c r="N245" s="7"/>
    </row>
    <row r="246" spans="1:14">
      <c r="A246" s="7"/>
      <c r="B246" s="7"/>
      <c r="C246" s="7"/>
      <c r="D246" s="7"/>
      <c r="E246" s="7"/>
      <c r="F246" s="7"/>
      <c r="G246" s="7"/>
      <c r="H246" s="7"/>
      <c r="I246" s="7"/>
      <c r="J246" s="7"/>
      <c r="K246" s="7"/>
      <c r="L246" s="7"/>
      <c r="M246" s="7"/>
      <c r="N246" s="7"/>
    </row>
    <row r="247" spans="1:14">
      <c r="A247" s="7"/>
      <c r="B247" s="7"/>
      <c r="C247" s="7"/>
      <c r="D247" s="7"/>
      <c r="E247" s="7"/>
      <c r="F247" s="7"/>
      <c r="G247" s="7"/>
      <c r="H247" s="7"/>
      <c r="I247" s="7"/>
      <c r="J247" s="7"/>
      <c r="K247" s="7"/>
      <c r="L247" s="7"/>
      <c r="M247" s="7"/>
      <c r="N247" s="7"/>
    </row>
    <row r="248" spans="1:14">
      <c r="A248" s="7"/>
      <c r="B248" s="7"/>
      <c r="C248" s="7"/>
      <c r="D248" s="7"/>
      <c r="E248" s="7"/>
      <c r="F248" s="7"/>
      <c r="G248" s="7"/>
      <c r="H248" s="7"/>
      <c r="I248" s="7"/>
      <c r="J248" s="7"/>
      <c r="K248" s="7"/>
      <c r="L248" s="7"/>
      <c r="M248" s="7"/>
      <c r="N248" s="7"/>
    </row>
    <row r="249" spans="1:14">
      <c r="A249" s="7"/>
      <c r="B249" s="7"/>
      <c r="C249" s="7"/>
      <c r="D249" s="7"/>
      <c r="E249" s="7"/>
      <c r="F249" s="7"/>
      <c r="G249" s="7"/>
      <c r="H249" s="7"/>
      <c r="I249" s="7"/>
      <c r="J249" s="7"/>
      <c r="K249" s="7"/>
      <c r="L249" s="7"/>
      <c r="M249" s="7"/>
      <c r="N249" s="7"/>
    </row>
    <row r="250" spans="1:14">
      <c r="A250" s="7"/>
      <c r="B250" s="7"/>
      <c r="C250" s="7"/>
      <c r="D250" s="7"/>
      <c r="E250" s="7"/>
      <c r="F250" s="7"/>
      <c r="G250" s="7"/>
      <c r="H250" s="7"/>
      <c r="I250" s="7"/>
      <c r="J250" s="7"/>
      <c r="K250" s="7"/>
      <c r="L250" s="7"/>
      <c r="M250" s="7"/>
      <c r="N250" s="7"/>
    </row>
    <row r="251" spans="1:14">
      <c r="A251" s="7"/>
      <c r="B251" s="7"/>
      <c r="C251" s="7"/>
      <c r="D251" s="7"/>
      <c r="E251" s="7"/>
      <c r="F251" s="7"/>
      <c r="G251" s="7"/>
      <c r="H251" s="7"/>
      <c r="I251" s="7"/>
      <c r="J251" s="7"/>
      <c r="K251" s="7"/>
      <c r="L251" s="7"/>
      <c r="M251" s="7"/>
      <c r="N251" s="7"/>
    </row>
    <row r="252" spans="1:14">
      <c r="A252" s="7"/>
      <c r="B252" s="7"/>
      <c r="C252" s="7"/>
      <c r="D252" s="7"/>
      <c r="E252" s="7"/>
      <c r="F252" s="7"/>
      <c r="G252" s="7"/>
      <c r="H252" s="7"/>
      <c r="I252" s="7"/>
      <c r="J252" s="7"/>
      <c r="K252" s="7"/>
      <c r="L252" s="7"/>
      <c r="M252" s="7"/>
    </row>
    <row r="253" spans="1:14">
      <c r="A253" s="7"/>
      <c r="B253" s="7"/>
      <c r="C253" s="7"/>
      <c r="D253" s="7"/>
      <c r="E253" s="7"/>
      <c r="F253" s="7"/>
      <c r="G253" s="7"/>
      <c r="H253" s="7"/>
      <c r="I253" s="7"/>
      <c r="J253" s="7"/>
      <c r="K253" s="7"/>
      <c r="L253" s="7"/>
      <c r="M253" s="7"/>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7"/>
  <sheetViews>
    <sheetView topLeftCell="A7" workbookViewId="0">
      <selection activeCell="F221" sqref="F221"/>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2708" t="s">
        <v>555</v>
      </c>
      <c r="C1" s="2709"/>
      <c r="D1" s="2709"/>
      <c r="E1" s="2709"/>
      <c r="F1" s="2709"/>
    </row>
    <row r="2" spans="1:25" s="1" customFormat="1" ht="20.100000000000001" customHeight="1" thickBot="1">
      <c r="B2" s="1733" t="s">
        <v>564</v>
      </c>
    </row>
    <row r="3" spans="1:25" s="4" customFormat="1" ht="20.100000000000001" customHeight="1">
      <c r="A3" s="1536" t="s">
        <v>2</v>
      </c>
      <c r="B3" s="1585"/>
      <c r="C3" s="1585"/>
      <c r="D3" s="1585"/>
      <c r="E3" s="1585"/>
      <c r="F3" s="2418"/>
      <c r="G3" s="2418"/>
      <c r="H3" s="2418"/>
      <c r="I3" s="2418"/>
      <c r="J3" s="2418"/>
      <c r="K3" s="2418"/>
      <c r="L3" s="2418"/>
      <c r="M3" s="2418"/>
      <c r="N3" s="2418"/>
      <c r="O3" s="2522"/>
    </row>
    <row r="4" spans="1:25" s="4" customFormat="1" ht="20.100000000000001" customHeight="1">
      <c r="A4" s="2420" t="s">
        <v>170</v>
      </c>
      <c r="B4" s="1948"/>
      <c r="C4" s="1948"/>
      <c r="D4" s="1948"/>
      <c r="E4" s="1948"/>
      <c r="F4" s="1948"/>
      <c r="G4" s="1948"/>
      <c r="H4" s="1948"/>
      <c r="I4" s="1948"/>
      <c r="J4" s="1948"/>
      <c r="K4" s="1948"/>
      <c r="L4" s="1948"/>
      <c r="M4" s="1948"/>
      <c r="N4" s="1948"/>
      <c r="O4" s="1949"/>
    </row>
    <row r="5" spans="1:25" s="4" customFormat="1" ht="20.100000000000001" customHeight="1">
      <c r="A5" s="2420"/>
      <c r="B5" s="1948"/>
      <c r="C5" s="1948"/>
      <c r="D5" s="1948"/>
      <c r="E5" s="1948"/>
      <c r="F5" s="1948"/>
      <c r="G5" s="1948"/>
      <c r="H5" s="1948"/>
      <c r="I5" s="1948"/>
      <c r="J5" s="1948"/>
      <c r="K5" s="1948"/>
      <c r="L5" s="1948"/>
      <c r="M5" s="1948"/>
      <c r="N5" s="1948"/>
      <c r="O5" s="1949"/>
    </row>
    <row r="6" spans="1:25" s="4" customFormat="1" ht="20.100000000000001" customHeight="1">
      <c r="A6" s="2420"/>
      <c r="B6" s="1948"/>
      <c r="C6" s="1948"/>
      <c r="D6" s="1948"/>
      <c r="E6" s="1948"/>
      <c r="F6" s="1948"/>
      <c r="G6" s="1948"/>
      <c r="H6" s="1948"/>
      <c r="I6" s="1948"/>
      <c r="J6" s="1948"/>
      <c r="K6" s="1948"/>
      <c r="L6" s="1948"/>
      <c r="M6" s="1948"/>
      <c r="N6" s="1948"/>
      <c r="O6" s="1949"/>
    </row>
    <row r="7" spans="1:25" s="4" customFormat="1" ht="20.100000000000001" customHeight="1">
      <c r="A7" s="2420"/>
      <c r="B7" s="1948"/>
      <c r="C7" s="1948"/>
      <c r="D7" s="1948"/>
      <c r="E7" s="1948"/>
      <c r="F7" s="1948"/>
      <c r="G7" s="1948"/>
      <c r="H7" s="1948"/>
      <c r="I7" s="1948"/>
      <c r="J7" s="1948"/>
      <c r="K7" s="1948"/>
      <c r="L7" s="1948"/>
      <c r="M7" s="1948"/>
      <c r="N7" s="1948"/>
      <c r="O7" s="1949"/>
    </row>
    <row r="8" spans="1:25" s="4" customFormat="1" ht="20.100000000000001" customHeight="1">
      <c r="A8" s="2420"/>
      <c r="B8" s="1948"/>
      <c r="C8" s="1948"/>
      <c r="D8" s="1948"/>
      <c r="E8" s="1948"/>
      <c r="F8" s="1948"/>
      <c r="G8" s="1948"/>
      <c r="H8" s="1948"/>
      <c r="I8" s="1948"/>
      <c r="J8" s="1948"/>
      <c r="K8" s="1948"/>
      <c r="L8" s="1948"/>
      <c r="M8" s="1948"/>
      <c r="N8" s="1948"/>
      <c r="O8" s="1949"/>
    </row>
    <row r="9" spans="1:25" s="4" customFormat="1" ht="52.5" customHeight="1">
      <c r="A9" s="2420"/>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515"/>
      <c r="B15" s="516"/>
      <c r="C15" s="10"/>
      <c r="D15" s="1953" t="s">
        <v>5</v>
      </c>
      <c r="E15" s="2012"/>
      <c r="F15" s="2012"/>
      <c r="G15" s="2012"/>
      <c r="H15" s="11"/>
      <c r="I15" s="12" t="s">
        <v>6</v>
      </c>
      <c r="J15" s="13"/>
      <c r="K15" s="13"/>
      <c r="L15" s="13"/>
      <c r="M15" s="13"/>
      <c r="N15" s="13"/>
      <c r="O15" s="14"/>
      <c r="P15" s="15"/>
      <c r="Q15" s="16"/>
      <c r="R15" s="17"/>
      <c r="S15" s="17"/>
      <c r="T15" s="17"/>
      <c r="U15" s="17"/>
      <c r="V15" s="17"/>
      <c r="W15" s="15"/>
      <c r="X15" s="15"/>
      <c r="Y15" s="16"/>
    </row>
    <row r="16" spans="1:25" s="56" customFormat="1" ht="129" customHeight="1" thickBot="1">
      <c r="A16" s="1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2710" t="s">
        <v>556</v>
      </c>
      <c r="B17" s="2711"/>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2610"/>
      <c r="B18" s="2032"/>
      <c r="C18" s="36">
        <v>2015</v>
      </c>
      <c r="D18" s="37">
        <v>1</v>
      </c>
      <c r="E18" s="38"/>
      <c r="F18" s="38"/>
      <c r="G18" s="32">
        <f>SUM(D18:F18)</f>
        <v>1</v>
      </c>
      <c r="H18" s="39">
        <v>1</v>
      </c>
      <c r="I18" s="38"/>
      <c r="J18" s="38"/>
      <c r="K18" s="38"/>
      <c r="L18" s="38"/>
      <c r="M18" s="38"/>
      <c r="N18" s="38"/>
      <c r="O18" s="40"/>
      <c r="P18" s="35"/>
      <c r="Q18" s="35"/>
      <c r="R18" s="35"/>
      <c r="S18" s="35"/>
      <c r="T18" s="35"/>
      <c r="U18" s="35"/>
      <c r="V18" s="35"/>
      <c r="W18" s="35"/>
      <c r="X18" s="35"/>
      <c r="Y18" s="35"/>
    </row>
    <row r="19" spans="1:25">
      <c r="A19" s="2610"/>
      <c r="B19" s="2032"/>
      <c r="C19" s="36">
        <v>2016</v>
      </c>
      <c r="D19" s="37">
        <v>4</v>
      </c>
      <c r="E19" s="38"/>
      <c r="F19" s="38"/>
      <c r="G19" s="32">
        <f t="shared" si="0"/>
        <v>4</v>
      </c>
      <c r="H19" s="39">
        <v>2</v>
      </c>
      <c r="I19" s="38"/>
      <c r="J19" s="38"/>
      <c r="K19" s="38"/>
      <c r="L19" s="38"/>
      <c r="M19" s="38"/>
      <c r="N19" s="38"/>
      <c r="O19" s="40">
        <v>2</v>
      </c>
      <c r="P19" s="35"/>
      <c r="Q19" s="35"/>
      <c r="R19" s="35"/>
      <c r="S19" s="35"/>
      <c r="T19" s="35"/>
      <c r="U19" s="35"/>
      <c r="V19" s="35"/>
      <c r="W19" s="35"/>
      <c r="X19" s="35"/>
      <c r="Y19" s="35"/>
    </row>
    <row r="20" spans="1:25">
      <c r="A20" s="2610"/>
      <c r="B20" s="2032"/>
      <c r="C20" s="36">
        <v>2017</v>
      </c>
      <c r="D20" s="37">
        <v>8</v>
      </c>
      <c r="E20" s="38"/>
      <c r="F20" s="38"/>
      <c r="G20" s="32">
        <f t="shared" si="0"/>
        <v>8</v>
      </c>
      <c r="H20" s="39">
        <v>8</v>
      </c>
      <c r="I20" s="38"/>
      <c r="J20" s="38"/>
      <c r="K20" s="38"/>
      <c r="L20" s="38"/>
      <c r="M20" s="38"/>
      <c r="N20" s="38"/>
      <c r="O20" s="40">
        <v>2</v>
      </c>
      <c r="P20" s="35"/>
      <c r="Q20" s="35"/>
      <c r="R20" s="35"/>
      <c r="S20" s="35"/>
      <c r="T20" s="35"/>
      <c r="U20" s="35"/>
      <c r="V20" s="35"/>
      <c r="W20" s="35"/>
      <c r="X20" s="35"/>
      <c r="Y20" s="35"/>
    </row>
    <row r="21" spans="1:25">
      <c r="A21" s="2610"/>
      <c r="B21" s="2032"/>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2610"/>
      <c r="B22" s="2032"/>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2610"/>
      <c r="B23" s="2032"/>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409.5" customHeight="1" thickBot="1">
      <c r="A24" s="2612"/>
      <c r="B24" s="2033"/>
      <c r="C24" s="42" t="s">
        <v>13</v>
      </c>
      <c r="D24" s="43">
        <f>SUM(D17:D23)</f>
        <v>13</v>
      </c>
      <c r="E24" s="44">
        <f>SUM(E17:E23)</f>
        <v>0</v>
      </c>
      <c r="F24" s="44">
        <f>SUM(F17:F23)</f>
        <v>0</v>
      </c>
      <c r="G24" s="45">
        <f>SUM(D24:F24)</f>
        <v>13</v>
      </c>
      <c r="H24" s="46">
        <f>SUM(H17:H23)</f>
        <v>11</v>
      </c>
      <c r="I24" s="47">
        <f>SUM(I17:I23)</f>
        <v>0</v>
      </c>
      <c r="J24" s="47">
        <f t="shared" ref="J24:N24" si="1">SUM(J17:J23)</f>
        <v>0</v>
      </c>
      <c r="K24" s="47">
        <f t="shared" si="1"/>
        <v>0</v>
      </c>
      <c r="L24" s="47">
        <f t="shared" si="1"/>
        <v>0</v>
      </c>
      <c r="M24" s="47">
        <f t="shared" si="1"/>
        <v>0</v>
      </c>
      <c r="N24" s="47">
        <f t="shared" si="1"/>
        <v>0</v>
      </c>
      <c r="O24" s="48">
        <f>SUM(O17:O23)</f>
        <v>4</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515"/>
      <c r="B26" s="516"/>
      <c r="C26" s="50"/>
      <c r="D26" s="1959" t="s">
        <v>5</v>
      </c>
      <c r="E26" s="2071"/>
      <c r="F26" s="2071"/>
      <c r="G26" s="2072"/>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1874"/>
      <c r="B28" s="1855"/>
      <c r="C28" s="57">
        <v>2014</v>
      </c>
      <c r="D28" s="33"/>
      <c r="E28" s="31"/>
      <c r="F28" s="31"/>
      <c r="G28" s="58">
        <f>SUM(D28:F28)</f>
        <v>0</v>
      </c>
      <c r="H28" s="35"/>
      <c r="I28" s="35"/>
      <c r="J28" s="35"/>
      <c r="K28" s="35"/>
      <c r="L28" s="35"/>
      <c r="M28" s="35"/>
      <c r="N28" s="35"/>
      <c r="O28" s="35"/>
      <c r="P28" s="35"/>
      <c r="Q28" s="7"/>
    </row>
    <row r="29" spans="1:25">
      <c r="A29" s="1854"/>
      <c r="B29" s="1855"/>
      <c r="C29" s="59">
        <v>2015</v>
      </c>
      <c r="D29" s="39">
        <v>55</v>
      </c>
      <c r="E29" s="38"/>
      <c r="F29" s="38"/>
      <c r="G29" s="58">
        <f t="shared" ref="G29:G35" si="2">SUM(D29:F29)</f>
        <v>55</v>
      </c>
      <c r="H29" s="35"/>
      <c r="I29" s="35"/>
      <c r="J29" s="35"/>
      <c r="K29" s="35"/>
      <c r="L29" s="35"/>
      <c r="M29" s="35"/>
      <c r="N29" s="35"/>
      <c r="O29" s="35"/>
      <c r="P29" s="35"/>
      <c r="Q29" s="7"/>
    </row>
    <row r="30" spans="1:25">
      <c r="A30" s="1854"/>
      <c r="B30" s="1855"/>
      <c r="C30" s="59">
        <v>2016</v>
      </c>
      <c r="D30" s="39">
        <v>285</v>
      </c>
      <c r="E30" s="38"/>
      <c r="F30" s="38"/>
      <c r="G30" s="58">
        <f t="shared" si="2"/>
        <v>285</v>
      </c>
      <c r="H30" s="35"/>
      <c r="I30" s="35"/>
      <c r="J30" s="35"/>
      <c r="K30" s="35"/>
      <c r="L30" s="35"/>
      <c r="M30" s="35"/>
      <c r="N30" s="35"/>
      <c r="O30" s="35"/>
      <c r="P30" s="35"/>
      <c r="Q30" s="7"/>
    </row>
    <row r="31" spans="1:25">
      <c r="A31" s="1854"/>
      <c r="B31" s="1855"/>
      <c r="C31" s="59">
        <v>2017</v>
      </c>
      <c r="D31" s="39">
        <v>565</v>
      </c>
      <c r="E31" s="38"/>
      <c r="F31" s="38"/>
      <c r="G31" s="58">
        <f t="shared" si="2"/>
        <v>565</v>
      </c>
      <c r="H31" s="35"/>
      <c r="I31" s="35"/>
      <c r="J31" s="35"/>
      <c r="K31" s="35"/>
      <c r="L31" s="35"/>
      <c r="M31" s="35"/>
      <c r="N31" s="35"/>
      <c r="O31" s="35"/>
      <c r="P31" s="35"/>
      <c r="Q31" s="7"/>
    </row>
    <row r="32" spans="1:25">
      <c r="A32" s="1854"/>
      <c r="B32" s="1855"/>
      <c r="C32" s="59">
        <v>2018</v>
      </c>
      <c r="D32" s="39"/>
      <c r="E32" s="38"/>
      <c r="F32" s="38"/>
      <c r="G32" s="58">
        <f>SUM(D32:F32)</f>
        <v>0</v>
      </c>
      <c r="H32" s="35"/>
      <c r="I32" s="35"/>
      <c r="J32" s="35"/>
      <c r="K32" s="35"/>
      <c r="L32" s="35"/>
      <c r="M32" s="35"/>
      <c r="N32" s="35"/>
      <c r="O32" s="35"/>
      <c r="P32" s="35"/>
      <c r="Q32" s="7"/>
    </row>
    <row r="33" spans="1:17">
      <c r="A33" s="1854"/>
      <c r="B33" s="1855"/>
      <c r="C33" s="60">
        <v>2019</v>
      </c>
      <c r="D33" s="39"/>
      <c r="E33" s="38"/>
      <c r="F33" s="38"/>
      <c r="G33" s="58">
        <f t="shared" si="2"/>
        <v>0</v>
      </c>
      <c r="H33" s="35"/>
      <c r="I33" s="35"/>
      <c r="J33" s="35"/>
      <c r="K33" s="35"/>
      <c r="L33" s="35"/>
      <c r="M33" s="35"/>
      <c r="N33" s="35"/>
      <c r="O33" s="35"/>
      <c r="P33" s="35"/>
      <c r="Q33" s="7"/>
    </row>
    <row r="34" spans="1:17">
      <c r="A34" s="1854"/>
      <c r="B34" s="1855"/>
      <c r="C34" s="59">
        <v>2020</v>
      </c>
      <c r="D34" s="39"/>
      <c r="E34" s="38"/>
      <c r="F34" s="38"/>
      <c r="G34" s="58">
        <f t="shared" si="2"/>
        <v>0</v>
      </c>
      <c r="H34" s="35"/>
      <c r="I34" s="35"/>
      <c r="J34" s="35"/>
      <c r="K34" s="35"/>
      <c r="L34" s="35"/>
      <c r="M34" s="35"/>
      <c r="N34" s="35"/>
      <c r="O34" s="35"/>
      <c r="P34" s="35"/>
      <c r="Q34" s="7"/>
    </row>
    <row r="35" spans="1:17" ht="20.25" customHeight="1" thickBot="1">
      <c r="A35" s="1856"/>
      <c r="B35" s="1857"/>
      <c r="C35" s="61" t="s">
        <v>13</v>
      </c>
      <c r="D35" s="46">
        <f>SUM(D28:D34)</f>
        <v>905</v>
      </c>
      <c r="E35" s="44">
        <f>SUM(E28:E34)</f>
        <v>0</v>
      </c>
      <c r="F35" s="44">
        <f>SUM(F28:F34)</f>
        <v>0</v>
      </c>
      <c r="G35" s="48">
        <f t="shared" si="2"/>
        <v>905</v>
      </c>
      <c r="H35" s="35"/>
      <c r="I35" s="35"/>
      <c r="J35" s="35"/>
      <c r="K35" s="35"/>
      <c r="L35" s="35"/>
      <c r="M35" s="35"/>
      <c r="N35" s="35"/>
      <c r="O35" s="35"/>
      <c r="P35" s="35"/>
      <c r="Q35" s="7"/>
    </row>
    <row r="36" spans="1:17">
      <c r="A36" s="1535"/>
      <c r="B36" s="1535"/>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535" t="s">
        <v>26</v>
      </c>
      <c r="B39" s="536" t="s">
        <v>171</v>
      </c>
      <c r="C39" s="68" t="s">
        <v>9</v>
      </c>
      <c r="D39" s="69" t="s">
        <v>28</v>
      </c>
      <c r="E39" s="70" t="s">
        <v>29</v>
      </c>
      <c r="F39" s="71"/>
      <c r="G39" s="28"/>
      <c r="H39" s="28"/>
    </row>
    <row r="40" spans="1:17">
      <c r="A40" s="2712" t="s">
        <v>557</v>
      </c>
      <c r="B40" s="2713"/>
      <c r="C40" s="72">
        <v>2014</v>
      </c>
      <c r="D40" s="30"/>
      <c r="E40" s="29"/>
      <c r="F40" s="7"/>
      <c r="G40" s="35"/>
      <c r="H40" s="35"/>
    </row>
    <row r="41" spans="1:17">
      <c r="A41" s="2712"/>
      <c r="B41" s="2713"/>
      <c r="C41" s="73">
        <v>2015</v>
      </c>
      <c r="D41" s="37"/>
      <c r="E41" s="36"/>
      <c r="F41" s="7"/>
      <c r="G41" s="35"/>
      <c r="H41" s="35"/>
    </row>
    <row r="42" spans="1:17">
      <c r="A42" s="2712"/>
      <c r="B42" s="2713"/>
      <c r="C42" s="73">
        <v>2016</v>
      </c>
      <c r="D42" s="37"/>
      <c r="E42" s="36"/>
      <c r="F42" s="7"/>
      <c r="G42" s="35"/>
      <c r="H42" s="35"/>
    </row>
    <row r="43" spans="1:17">
      <c r="A43" s="2712"/>
      <c r="B43" s="2713"/>
      <c r="C43" s="73">
        <v>2017</v>
      </c>
      <c r="D43" s="37"/>
      <c r="E43" s="36"/>
      <c r="F43" s="7"/>
      <c r="G43" s="35"/>
      <c r="H43" s="35"/>
    </row>
    <row r="44" spans="1:17">
      <c r="A44" s="2712"/>
      <c r="B44" s="2713"/>
      <c r="C44" s="73">
        <v>2018</v>
      </c>
      <c r="D44" s="37"/>
      <c r="E44" s="36"/>
      <c r="F44" s="7"/>
      <c r="G44" s="35"/>
      <c r="H44" s="35"/>
    </row>
    <row r="45" spans="1:17">
      <c r="A45" s="2712"/>
      <c r="B45" s="2713"/>
      <c r="C45" s="73">
        <v>2019</v>
      </c>
      <c r="D45" s="37"/>
      <c r="E45" s="36"/>
      <c r="F45" s="7"/>
      <c r="G45" s="35"/>
      <c r="H45" s="35"/>
    </row>
    <row r="46" spans="1:17">
      <c r="A46" s="2712"/>
      <c r="B46" s="2713"/>
      <c r="C46" s="73">
        <v>2020</v>
      </c>
      <c r="D46" s="37"/>
      <c r="E46" s="36"/>
      <c r="F46" s="7"/>
      <c r="G46" s="35"/>
      <c r="H46" s="35"/>
    </row>
    <row r="47" spans="1:17" ht="15.75" thickBot="1">
      <c r="A47" s="2714"/>
      <c r="B47" s="2715"/>
      <c r="C47" s="42" t="s">
        <v>13</v>
      </c>
      <c r="D47" s="43">
        <f>SUM(D40:D46)</f>
        <v>0</v>
      </c>
      <c r="E47" s="455">
        <f>SUM(E40:E46)</f>
        <v>0</v>
      </c>
      <c r="F47" s="78"/>
      <c r="G47" s="35"/>
      <c r="H47" s="35"/>
    </row>
    <row r="48" spans="1:17" s="35" customFormat="1" ht="15.75" thickBot="1">
      <c r="A48" s="539"/>
      <c r="B48" s="80"/>
      <c r="C48" s="81"/>
    </row>
    <row r="49" spans="1:15" ht="83.25" customHeight="1">
      <c r="A49" s="82" t="s">
        <v>32</v>
      </c>
      <c r="B49" s="536" t="s">
        <v>171</v>
      </c>
      <c r="C49" s="84" t="s">
        <v>9</v>
      </c>
      <c r="D49" s="69" t="s">
        <v>34</v>
      </c>
      <c r="E49" s="85" t="s">
        <v>35</v>
      </c>
      <c r="F49" s="85" t="s">
        <v>36</v>
      </c>
      <c r="G49" s="85" t="s">
        <v>37</v>
      </c>
      <c r="H49" s="85" t="s">
        <v>38</v>
      </c>
      <c r="I49" s="85" t="s">
        <v>39</v>
      </c>
      <c r="J49" s="85" t="s">
        <v>40</v>
      </c>
      <c r="K49" s="86" t="s">
        <v>41</v>
      </c>
    </row>
    <row r="50" spans="1:15" ht="17.25" customHeight="1">
      <c r="A50" s="1872" t="s">
        <v>558</v>
      </c>
      <c r="B50" s="1879"/>
      <c r="C50" s="87" t="s">
        <v>43</v>
      </c>
      <c r="D50" s="30"/>
      <c r="E50" s="31"/>
      <c r="F50" s="31"/>
      <c r="G50" s="31"/>
      <c r="H50" s="31"/>
      <c r="I50" s="31"/>
      <c r="J50" s="31"/>
      <c r="K50" s="34"/>
    </row>
    <row r="51" spans="1:15" ht="15" customHeight="1">
      <c r="A51" s="1874"/>
      <c r="B51" s="1881"/>
      <c r="C51" s="73">
        <v>2014</v>
      </c>
      <c r="D51" s="37"/>
      <c r="E51" s="38"/>
      <c r="F51" s="38"/>
      <c r="G51" s="38"/>
      <c r="H51" s="38"/>
      <c r="I51" s="38"/>
      <c r="J51" s="38"/>
      <c r="K51" s="88"/>
    </row>
    <row r="52" spans="1:15">
      <c r="A52" s="1874"/>
      <c r="B52" s="1881"/>
      <c r="C52" s="73">
        <v>2015</v>
      </c>
      <c r="D52" s="37"/>
      <c r="E52" s="38"/>
      <c r="F52" s="38"/>
      <c r="G52" s="38"/>
      <c r="H52" s="38"/>
      <c r="I52" s="38"/>
      <c r="J52" s="38"/>
      <c r="K52" s="88"/>
    </row>
    <row r="53" spans="1:15">
      <c r="A53" s="1874"/>
      <c r="B53" s="1881"/>
      <c r="C53" s="73">
        <v>2016</v>
      </c>
      <c r="D53" s="37"/>
      <c r="E53" s="38"/>
      <c r="F53" s="38"/>
      <c r="G53" s="38"/>
      <c r="H53" s="38"/>
      <c r="I53" s="38"/>
      <c r="J53" s="38"/>
      <c r="K53" s="88"/>
    </row>
    <row r="54" spans="1:15">
      <c r="A54" s="1874"/>
      <c r="B54" s="1881"/>
      <c r="C54" s="73">
        <v>2017</v>
      </c>
      <c r="D54" s="37"/>
      <c r="E54" s="38"/>
      <c r="F54" s="38"/>
      <c r="G54" s="38"/>
      <c r="H54" s="38"/>
      <c r="I54" s="38"/>
      <c r="J54" s="38"/>
      <c r="K54" s="88"/>
    </row>
    <row r="55" spans="1:15">
      <c r="A55" s="1874"/>
      <c r="B55" s="1881"/>
      <c r="C55" s="73">
        <v>2018</v>
      </c>
      <c r="D55" s="37"/>
      <c r="E55" s="38"/>
      <c r="F55" s="38"/>
      <c r="G55" s="38"/>
      <c r="H55" s="38"/>
      <c r="I55" s="38"/>
      <c r="J55" s="38"/>
      <c r="K55" s="88"/>
    </row>
    <row r="56" spans="1:15">
      <c r="A56" s="1874"/>
      <c r="B56" s="1881"/>
      <c r="C56" s="73">
        <v>2019</v>
      </c>
      <c r="D56" s="37"/>
      <c r="E56" s="38"/>
      <c r="F56" s="38"/>
      <c r="G56" s="38"/>
      <c r="H56" s="38"/>
      <c r="I56" s="38"/>
      <c r="J56" s="38"/>
      <c r="K56" s="88"/>
    </row>
    <row r="57" spans="1:15">
      <c r="A57" s="1874"/>
      <c r="B57" s="1881"/>
      <c r="C57" s="73">
        <v>2020</v>
      </c>
      <c r="D57" s="37"/>
      <c r="E57" s="38"/>
      <c r="F57" s="38"/>
      <c r="G57" s="38"/>
      <c r="H57" s="38"/>
      <c r="I57" s="38"/>
      <c r="J57" s="38"/>
      <c r="K57" s="93"/>
    </row>
    <row r="58" spans="1:15" ht="20.25" customHeight="1" thickBot="1">
      <c r="A58" s="1876"/>
      <c r="B58" s="1883"/>
      <c r="C58" s="42" t="s">
        <v>13</v>
      </c>
      <c r="D58" s="43">
        <f>SUM(D51:D57)</f>
        <v>0</v>
      </c>
      <c r="E58" s="44">
        <f>SUM(E51:E57)</f>
        <v>0</v>
      </c>
      <c r="F58" s="44">
        <f>SUM(F51:F57)</f>
        <v>0</v>
      </c>
      <c r="G58" s="44">
        <f>SUM(G51:G57)</f>
        <v>0</v>
      </c>
      <c r="H58" s="44">
        <f>SUM(H51:H57)</f>
        <v>0</v>
      </c>
      <c r="I58" s="44">
        <f t="shared" ref="I58" si="3">SUM(I51:I57)</f>
        <v>0</v>
      </c>
      <c r="J58" s="44">
        <f>SUM(J51:J57)</f>
        <v>0</v>
      </c>
      <c r="K58" s="48">
        <f>SUM(K50:K56)</f>
        <v>0</v>
      </c>
    </row>
    <row r="59" spans="1:15" ht="15.75" thickBot="1"/>
    <row r="60" spans="1:15" ht="21" customHeight="1">
      <c r="A60" s="2073" t="s">
        <v>44</v>
      </c>
      <c r="B60" s="540"/>
      <c r="C60" s="2074" t="s">
        <v>9</v>
      </c>
      <c r="D60" s="2417" t="s">
        <v>45</v>
      </c>
      <c r="E60" s="96" t="s">
        <v>6</v>
      </c>
      <c r="F60" s="541"/>
      <c r="G60" s="541"/>
      <c r="H60" s="541"/>
      <c r="I60" s="541"/>
      <c r="J60" s="541"/>
      <c r="K60" s="541"/>
      <c r="L60" s="542"/>
    </row>
    <row r="61" spans="1:15" ht="115.5" customHeight="1">
      <c r="A61" s="1970"/>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2608" t="s">
        <v>559</v>
      </c>
      <c r="B62" s="2060"/>
      <c r="C62" s="106">
        <v>2014</v>
      </c>
      <c r="D62" s="107"/>
      <c r="E62" s="108"/>
      <c r="F62" s="109"/>
      <c r="G62" s="109"/>
      <c r="H62" s="109"/>
      <c r="I62" s="109"/>
      <c r="J62" s="109"/>
      <c r="K62" s="109"/>
      <c r="L62" s="34"/>
      <c r="M62" s="7"/>
      <c r="N62" s="7"/>
      <c r="O62" s="7"/>
    </row>
    <row r="63" spans="1:15">
      <c r="A63" s="2608"/>
      <c r="B63" s="2060"/>
      <c r="C63" s="110">
        <v>2015</v>
      </c>
      <c r="D63" s="111"/>
      <c r="E63" s="112"/>
      <c r="F63" s="38"/>
      <c r="G63" s="38"/>
      <c r="H63" s="38"/>
      <c r="I63" s="38"/>
      <c r="J63" s="38"/>
      <c r="K63" s="38"/>
      <c r="L63" s="88"/>
      <c r="M63" s="7"/>
      <c r="N63" s="7"/>
      <c r="O63" s="7"/>
    </row>
    <row r="64" spans="1:15">
      <c r="A64" s="2608"/>
      <c r="B64" s="2060"/>
      <c r="C64" s="110">
        <v>2016</v>
      </c>
      <c r="D64" s="111">
        <v>25</v>
      </c>
      <c r="E64" s="112"/>
      <c r="F64" s="38">
        <v>23</v>
      </c>
      <c r="G64" s="38">
        <v>2</v>
      </c>
      <c r="H64" s="38"/>
      <c r="I64" s="38"/>
      <c r="J64" s="38"/>
      <c r="K64" s="38"/>
      <c r="L64" s="88"/>
      <c r="M64" s="7"/>
      <c r="N64" s="7"/>
      <c r="O64" s="7"/>
    </row>
    <row r="65" spans="1:20">
      <c r="A65" s="2608"/>
      <c r="B65" s="2060"/>
      <c r="C65" s="110">
        <v>2017</v>
      </c>
      <c r="D65" s="111">
        <v>8</v>
      </c>
      <c r="E65" s="112">
        <v>5</v>
      </c>
      <c r="F65" s="38"/>
      <c r="G65" s="38">
        <v>2</v>
      </c>
      <c r="H65" s="38">
        <v>1</v>
      </c>
      <c r="I65" s="38"/>
      <c r="J65" s="38"/>
      <c r="K65" s="38"/>
      <c r="L65" s="88"/>
      <c r="M65" s="7"/>
      <c r="N65" s="7"/>
      <c r="O65" s="7"/>
    </row>
    <row r="66" spans="1:20">
      <c r="A66" s="2608"/>
      <c r="B66" s="2060"/>
      <c r="C66" s="110">
        <v>2018</v>
      </c>
      <c r="D66" s="111"/>
      <c r="E66" s="112"/>
      <c r="F66" s="38"/>
      <c r="G66" s="38"/>
      <c r="H66" s="38"/>
      <c r="I66" s="38"/>
      <c r="J66" s="38"/>
      <c r="K66" s="38"/>
      <c r="L66" s="88"/>
      <c r="M66" s="7"/>
      <c r="N66" s="7"/>
      <c r="O66" s="7"/>
    </row>
    <row r="67" spans="1:20" ht="17.25" customHeight="1">
      <c r="A67" s="2608"/>
      <c r="B67" s="2060"/>
      <c r="C67" s="110">
        <v>2019</v>
      </c>
      <c r="D67" s="111"/>
      <c r="E67" s="112"/>
      <c r="F67" s="38"/>
      <c r="G67" s="38"/>
      <c r="H67" s="38"/>
      <c r="I67" s="38"/>
      <c r="J67" s="38"/>
      <c r="K67" s="38"/>
      <c r="L67" s="88"/>
      <c r="M67" s="7"/>
      <c r="N67" s="7"/>
      <c r="O67" s="7"/>
    </row>
    <row r="68" spans="1:20" ht="16.5" customHeight="1">
      <c r="A68" s="2608"/>
      <c r="B68" s="2060"/>
      <c r="C68" s="110">
        <v>2020</v>
      </c>
      <c r="D68" s="111"/>
      <c r="E68" s="112"/>
      <c r="F68" s="38"/>
      <c r="G68" s="38"/>
      <c r="H68" s="38"/>
      <c r="I68" s="38"/>
      <c r="J68" s="38"/>
      <c r="K68" s="38"/>
      <c r="L68" s="88"/>
      <c r="M68" s="78"/>
      <c r="N68" s="78"/>
      <c r="O68" s="78"/>
    </row>
    <row r="69" spans="1:20" ht="191.25" customHeight="1" thickBot="1">
      <c r="A69" s="2705"/>
      <c r="B69" s="2706"/>
      <c r="C69" s="113" t="s">
        <v>13</v>
      </c>
      <c r="D69" s="114">
        <f>SUM(D62:D68)</f>
        <v>33</v>
      </c>
      <c r="E69" s="115">
        <f>SUM(E62:E68)</f>
        <v>5</v>
      </c>
      <c r="F69" s="116">
        <f t="shared" ref="F69:I69" si="4">SUM(F62:F68)</f>
        <v>23</v>
      </c>
      <c r="G69" s="116">
        <f t="shared" si="4"/>
        <v>4</v>
      </c>
      <c r="H69" s="116">
        <f t="shared" si="4"/>
        <v>1</v>
      </c>
      <c r="I69" s="116">
        <f t="shared" si="4"/>
        <v>0</v>
      </c>
      <c r="J69" s="116"/>
      <c r="K69" s="116">
        <f>SUM(K62:K68)</f>
        <v>0</v>
      </c>
      <c r="L69" s="117">
        <f>SUM(L62:L68)</f>
        <v>0</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535" t="s">
        <v>47</v>
      </c>
      <c r="B71" s="536"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1874"/>
      <c r="B72" s="1899"/>
      <c r="C72" s="72">
        <v>2014</v>
      </c>
      <c r="D72" s="131"/>
      <c r="E72" s="131"/>
      <c r="F72" s="131"/>
      <c r="G72" s="132">
        <f>SUM(D72:F72)</f>
        <v>0</v>
      </c>
      <c r="H72" s="30"/>
      <c r="I72" s="133"/>
      <c r="J72" s="109"/>
      <c r="K72" s="109"/>
      <c r="L72" s="109"/>
      <c r="M72" s="109"/>
      <c r="N72" s="109"/>
      <c r="O72" s="134"/>
    </row>
    <row r="73" spans="1:20">
      <c r="A73" s="1854"/>
      <c r="B73" s="1899"/>
      <c r="C73" s="73">
        <v>2015</v>
      </c>
      <c r="D73" s="135"/>
      <c r="E73" s="135"/>
      <c r="F73" s="135"/>
      <c r="G73" s="132">
        <v>0</v>
      </c>
      <c r="H73" s="37"/>
      <c r="I73" s="37"/>
      <c r="J73" s="38"/>
      <c r="K73" s="38"/>
      <c r="L73" s="38"/>
      <c r="M73" s="38"/>
      <c r="N73" s="38"/>
      <c r="O73" s="88"/>
    </row>
    <row r="74" spans="1:20">
      <c r="A74" s="1854"/>
      <c r="B74" s="1899"/>
      <c r="C74" s="73">
        <v>2016</v>
      </c>
      <c r="D74" s="135"/>
      <c r="E74" s="135"/>
      <c r="F74" s="135"/>
      <c r="G74" s="132">
        <v>0</v>
      </c>
      <c r="H74" s="37"/>
      <c r="I74" s="37"/>
      <c r="J74" s="38"/>
      <c r="K74" s="38"/>
      <c r="L74" s="38"/>
      <c r="M74" s="38"/>
      <c r="N74" s="38"/>
      <c r="O74" s="88"/>
    </row>
    <row r="75" spans="1:20">
      <c r="A75" s="1854"/>
      <c r="B75" s="1899"/>
      <c r="C75" s="73">
        <v>2017</v>
      </c>
      <c r="D75" s="135"/>
      <c r="E75" s="135"/>
      <c r="F75" s="135"/>
      <c r="G75" s="132">
        <f t="shared" ref="G75:G78" si="5">SUM(D75:F75)</f>
        <v>0</v>
      </c>
      <c r="H75" s="37"/>
      <c r="I75" s="37"/>
      <c r="J75" s="38"/>
      <c r="K75" s="38"/>
      <c r="L75" s="38"/>
      <c r="M75" s="38"/>
      <c r="N75" s="38"/>
      <c r="O75" s="88"/>
    </row>
    <row r="76" spans="1:20">
      <c r="A76" s="1854"/>
      <c r="B76" s="1899"/>
      <c r="C76" s="73">
        <v>2018</v>
      </c>
      <c r="D76" s="135"/>
      <c r="E76" s="135"/>
      <c r="F76" s="135"/>
      <c r="G76" s="132">
        <f t="shared" si="5"/>
        <v>0</v>
      </c>
      <c r="H76" s="37"/>
      <c r="I76" s="37"/>
      <c r="J76" s="38"/>
      <c r="K76" s="38"/>
      <c r="L76" s="38"/>
      <c r="M76" s="38"/>
      <c r="N76" s="38"/>
      <c r="O76" s="88"/>
    </row>
    <row r="77" spans="1:20" ht="15.75" customHeight="1">
      <c r="A77" s="1854"/>
      <c r="B77" s="1899"/>
      <c r="C77" s="73">
        <v>2019</v>
      </c>
      <c r="D77" s="135"/>
      <c r="E77" s="135"/>
      <c r="F77" s="135"/>
      <c r="G77" s="132">
        <f t="shared" si="5"/>
        <v>0</v>
      </c>
      <c r="H77" s="37"/>
      <c r="I77" s="37"/>
      <c r="J77" s="38"/>
      <c r="K77" s="38"/>
      <c r="L77" s="38"/>
      <c r="M77" s="38"/>
      <c r="N77" s="38"/>
      <c r="O77" s="88"/>
    </row>
    <row r="78" spans="1:20" ht="17.25" customHeight="1">
      <c r="A78" s="1854"/>
      <c r="B78" s="1899"/>
      <c r="C78" s="73">
        <v>2020</v>
      </c>
      <c r="D78" s="135"/>
      <c r="E78" s="135"/>
      <c r="F78" s="135"/>
      <c r="G78" s="132">
        <f t="shared" si="5"/>
        <v>0</v>
      </c>
      <c r="H78" s="37"/>
      <c r="I78" s="37"/>
      <c r="J78" s="38"/>
      <c r="K78" s="38"/>
      <c r="L78" s="38"/>
      <c r="M78" s="38"/>
      <c r="N78" s="38"/>
      <c r="O78" s="88"/>
    </row>
    <row r="79" spans="1:20" ht="20.25" customHeight="1" thickBot="1">
      <c r="A79" s="1980"/>
      <c r="B79" s="1900"/>
      <c r="C79" s="136" t="s">
        <v>13</v>
      </c>
      <c r="D79" s="114">
        <f>SUM(D72:D78)</f>
        <v>0</v>
      </c>
      <c r="E79" s="114">
        <f>SUM(E72:E78)</f>
        <v>0</v>
      </c>
      <c r="F79" s="114">
        <f>SUM(F72:F78)</f>
        <v>0</v>
      </c>
      <c r="G79" s="137">
        <f>SUM(G72:G78)</f>
        <v>0</v>
      </c>
      <c r="H79" s="138"/>
      <c r="I79" s="139">
        <f t="shared" ref="I79:O79" si="6">SUM(I72:I78)</f>
        <v>0</v>
      </c>
      <c r="J79" s="116">
        <f t="shared" si="6"/>
        <v>0</v>
      </c>
      <c r="K79" s="116">
        <f t="shared" si="6"/>
        <v>0</v>
      </c>
      <c r="L79" s="116">
        <f t="shared" si="6"/>
        <v>0</v>
      </c>
      <c r="M79" s="116">
        <f t="shared" si="6"/>
        <v>0</v>
      </c>
      <c r="N79" s="116">
        <f t="shared" si="6"/>
        <v>0</v>
      </c>
      <c r="O79" s="117">
        <f t="shared" si="6"/>
        <v>0</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547" t="s">
        <v>56</v>
      </c>
      <c r="B84" s="548" t="s">
        <v>178</v>
      </c>
      <c r="C84" s="149" t="s">
        <v>9</v>
      </c>
      <c r="D84" s="150" t="s">
        <v>58</v>
      </c>
      <c r="E84" s="151" t="s">
        <v>59</v>
      </c>
      <c r="F84" s="152" t="s">
        <v>60</v>
      </c>
      <c r="G84" s="152" t="s">
        <v>61</v>
      </c>
      <c r="H84" s="152" t="s">
        <v>62</v>
      </c>
      <c r="I84" s="152" t="s">
        <v>63</v>
      </c>
      <c r="J84" s="152" t="s">
        <v>64</v>
      </c>
      <c r="K84" s="153" t="s">
        <v>65</v>
      </c>
    </row>
    <row r="85" spans="1:16" ht="15" customHeight="1">
      <c r="A85" s="2227"/>
      <c r="B85" s="2697"/>
      <c r="C85" s="72">
        <v>2014</v>
      </c>
      <c r="D85" s="154"/>
      <c r="E85" s="155"/>
      <c r="F85" s="31"/>
      <c r="G85" s="31"/>
      <c r="H85" s="31"/>
      <c r="I85" s="31"/>
      <c r="J85" s="31"/>
      <c r="K85" s="34"/>
    </row>
    <row r="86" spans="1:16">
      <c r="A86" s="2227"/>
      <c r="B86" s="2697"/>
      <c r="C86" s="73">
        <v>2015</v>
      </c>
      <c r="D86" s="156"/>
      <c r="E86" s="112"/>
      <c r="F86" s="38"/>
      <c r="G86" s="38"/>
      <c r="H86" s="38"/>
      <c r="I86" s="38"/>
      <c r="J86" s="38"/>
      <c r="K86" s="88"/>
    </row>
    <row r="87" spans="1:16">
      <c r="A87" s="2227"/>
      <c r="B87" s="2697"/>
      <c r="C87" s="73">
        <v>2016</v>
      </c>
      <c r="D87" s="156"/>
      <c r="E87" s="112"/>
      <c r="F87" s="38"/>
      <c r="G87" s="38"/>
      <c r="H87" s="38"/>
      <c r="I87" s="38"/>
      <c r="J87" s="38"/>
      <c r="K87" s="88"/>
    </row>
    <row r="88" spans="1:16">
      <c r="A88" s="2227"/>
      <c r="B88" s="2697"/>
      <c r="C88" s="73">
        <v>2017</v>
      </c>
      <c r="D88" s="156"/>
      <c r="E88" s="112"/>
      <c r="F88" s="38"/>
      <c r="G88" s="38"/>
      <c r="H88" s="38"/>
      <c r="I88" s="38"/>
      <c r="J88" s="38"/>
      <c r="K88" s="88"/>
    </row>
    <row r="89" spans="1:16">
      <c r="A89" s="2227"/>
      <c r="B89" s="2697"/>
      <c r="C89" s="73">
        <v>2018</v>
      </c>
      <c r="D89" s="156"/>
      <c r="E89" s="112"/>
      <c r="F89" s="38"/>
      <c r="G89" s="38"/>
      <c r="H89" s="38"/>
      <c r="I89" s="38"/>
      <c r="J89" s="38"/>
      <c r="K89" s="88"/>
    </row>
    <row r="90" spans="1:16">
      <c r="A90" s="2227"/>
      <c r="B90" s="2697"/>
      <c r="C90" s="73">
        <v>2019</v>
      </c>
      <c r="D90" s="156"/>
      <c r="E90" s="112"/>
      <c r="F90" s="38"/>
      <c r="G90" s="38"/>
      <c r="H90" s="38"/>
      <c r="I90" s="38"/>
      <c r="J90" s="38"/>
      <c r="K90" s="88"/>
    </row>
    <row r="91" spans="1:16">
      <c r="A91" s="2227"/>
      <c r="B91" s="2697"/>
      <c r="C91" s="73">
        <v>2020</v>
      </c>
      <c r="D91" s="156"/>
      <c r="E91" s="112"/>
      <c r="F91" s="38"/>
      <c r="G91" s="38"/>
      <c r="H91" s="38"/>
      <c r="I91" s="38"/>
      <c r="J91" s="38"/>
      <c r="K91" s="88"/>
    </row>
    <row r="92" spans="1:16" ht="18" customHeight="1" thickBot="1">
      <c r="A92" s="2707"/>
      <c r="B92" s="2698"/>
      <c r="C92" s="136" t="s">
        <v>13</v>
      </c>
      <c r="D92" s="157">
        <f t="shared" ref="D92:I92" si="7">SUM(D85:D91)</f>
        <v>0</v>
      </c>
      <c r="E92" s="115">
        <f t="shared" si="7"/>
        <v>0</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051" t="s">
        <v>68</v>
      </c>
      <c r="B96" s="2052" t="s">
        <v>179</v>
      </c>
      <c r="C96" s="2058" t="s">
        <v>9</v>
      </c>
      <c r="D96" s="1916" t="s">
        <v>70</v>
      </c>
      <c r="E96" s="1917"/>
      <c r="F96" s="162" t="s">
        <v>71</v>
      </c>
      <c r="G96" s="549"/>
      <c r="H96" s="549"/>
      <c r="I96" s="549"/>
      <c r="J96" s="549"/>
      <c r="K96" s="549"/>
      <c r="L96" s="549"/>
      <c r="M96" s="550"/>
      <c r="N96" s="165"/>
      <c r="O96" s="165"/>
      <c r="P96" s="165"/>
    </row>
    <row r="97" spans="1:16" ht="100.5" customHeight="1">
      <c r="A97" s="1910"/>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2699"/>
      <c r="B98" s="2700"/>
      <c r="C98" s="106">
        <v>2014</v>
      </c>
      <c r="D98" s="30"/>
      <c r="E98" s="31"/>
      <c r="F98" s="174"/>
      <c r="G98" s="175"/>
      <c r="H98" s="175"/>
      <c r="I98" s="175"/>
      <c r="J98" s="175"/>
      <c r="K98" s="175"/>
      <c r="L98" s="175"/>
      <c r="M98" s="176"/>
      <c r="N98" s="165"/>
      <c r="O98" s="165"/>
      <c r="P98" s="165"/>
    </row>
    <row r="99" spans="1:16" ht="16.5" customHeight="1">
      <c r="A99" s="2701"/>
      <c r="B99" s="2700"/>
      <c r="C99" s="110">
        <v>2015</v>
      </c>
      <c r="D99" s="37"/>
      <c r="E99" s="38"/>
      <c r="F99" s="177"/>
      <c r="G99" s="178"/>
      <c r="H99" s="178"/>
      <c r="I99" s="178"/>
      <c r="J99" s="178"/>
      <c r="K99" s="178"/>
      <c r="L99" s="178"/>
      <c r="M99" s="179"/>
      <c r="N99" s="165"/>
      <c r="O99" s="165"/>
      <c r="P99" s="165"/>
    </row>
    <row r="100" spans="1:16" ht="16.5" customHeight="1">
      <c r="A100" s="2701"/>
      <c r="B100" s="2700"/>
      <c r="C100" s="110">
        <v>2016</v>
      </c>
      <c r="D100" s="37"/>
      <c r="E100" s="38"/>
      <c r="F100" s="177"/>
      <c r="G100" s="178"/>
      <c r="H100" s="178"/>
      <c r="I100" s="178"/>
      <c r="J100" s="178"/>
      <c r="K100" s="178"/>
      <c r="L100" s="178"/>
      <c r="M100" s="179"/>
      <c r="N100" s="165"/>
      <c r="O100" s="165"/>
      <c r="P100" s="165"/>
    </row>
    <row r="101" spans="1:16" ht="16.5" customHeight="1">
      <c r="A101" s="2701"/>
      <c r="B101" s="2700"/>
      <c r="C101" s="110">
        <v>2017</v>
      </c>
      <c r="D101" s="37"/>
      <c r="E101" s="38"/>
      <c r="F101" s="177"/>
      <c r="G101" s="178"/>
      <c r="H101" s="178"/>
      <c r="I101" s="178"/>
      <c r="J101" s="178"/>
      <c r="K101" s="178"/>
      <c r="L101" s="178"/>
      <c r="M101" s="179"/>
      <c r="N101" s="165"/>
      <c r="O101" s="165"/>
      <c r="P101" s="165"/>
    </row>
    <row r="102" spans="1:16" ht="15.75" customHeight="1">
      <c r="A102" s="2701"/>
      <c r="B102" s="2700"/>
      <c r="C102" s="110">
        <v>2018</v>
      </c>
      <c r="D102" s="37"/>
      <c r="E102" s="38"/>
      <c r="F102" s="177"/>
      <c r="G102" s="178"/>
      <c r="H102" s="178"/>
      <c r="I102" s="178"/>
      <c r="J102" s="178"/>
      <c r="K102" s="178"/>
      <c r="L102" s="178"/>
      <c r="M102" s="179"/>
      <c r="N102" s="165"/>
      <c r="O102" s="165"/>
      <c r="P102" s="165"/>
    </row>
    <row r="103" spans="1:16" ht="14.25" customHeight="1">
      <c r="A103" s="2701"/>
      <c r="B103" s="2700"/>
      <c r="C103" s="110">
        <v>2019</v>
      </c>
      <c r="D103" s="37"/>
      <c r="E103" s="38"/>
      <c r="F103" s="177"/>
      <c r="G103" s="178"/>
      <c r="H103" s="178"/>
      <c r="I103" s="178"/>
      <c r="J103" s="178"/>
      <c r="K103" s="178"/>
      <c r="L103" s="178"/>
      <c r="M103" s="179"/>
      <c r="N103" s="165"/>
      <c r="O103" s="165"/>
      <c r="P103" s="165"/>
    </row>
    <row r="104" spans="1:16" ht="14.25" customHeight="1">
      <c r="A104" s="2701"/>
      <c r="B104" s="2700"/>
      <c r="C104" s="110">
        <v>2020</v>
      </c>
      <c r="D104" s="37"/>
      <c r="E104" s="38"/>
      <c r="F104" s="177"/>
      <c r="G104" s="178"/>
      <c r="H104" s="178"/>
      <c r="I104" s="178"/>
      <c r="J104" s="178"/>
      <c r="K104" s="178"/>
      <c r="L104" s="178"/>
      <c r="M104" s="179"/>
      <c r="N104" s="165"/>
      <c r="O104" s="165"/>
      <c r="P104" s="165"/>
    </row>
    <row r="105" spans="1:16" ht="19.5" customHeight="1" thickBot="1">
      <c r="A105" s="2702"/>
      <c r="B105" s="2703"/>
      <c r="C105" s="113" t="s">
        <v>13</v>
      </c>
      <c r="D105" s="139">
        <f>SUM(D98:D104)</f>
        <v>0</v>
      </c>
      <c r="E105" s="116">
        <f t="shared" ref="E105:K105" si="8">SUM(E98:E104)</f>
        <v>0</v>
      </c>
      <c r="F105" s="180">
        <f t="shared" si="8"/>
        <v>0</v>
      </c>
      <c r="G105" s="181">
        <f t="shared" si="8"/>
        <v>0</v>
      </c>
      <c r="H105" s="181">
        <f t="shared" si="8"/>
        <v>0</v>
      </c>
      <c r="I105" s="181">
        <f>SUM(I98:I104)</f>
        <v>0</v>
      </c>
      <c r="J105" s="181">
        <f t="shared" si="8"/>
        <v>0</v>
      </c>
      <c r="K105" s="181">
        <f t="shared" si="8"/>
        <v>0</v>
      </c>
      <c r="L105" s="181">
        <f>SUM(L98:L104)</f>
        <v>0</v>
      </c>
      <c r="M105" s="182">
        <f>SUM(M98:M104)</f>
        <v>0</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051" t="s">
        <v>77</v>
      </c>
      <c r="B107" s="2052" t="s">
        <v>179</v>
      </c>
      <c r="C107" s="2058" t="s">
        <v>9</v>
      </c>
      <c r="D107" s="2414" t="s">
        <v>78</v>
      </c>
      <c r="E107" s="162" t="s">
        <v>79</v>
      </c>
      <c r="F107" s="549"/>
      <c r="G107" s="549"/>
      <c r="H107" s="549"/>
      <c r="I107" s="549"/>
      <c r="J107" s="549"/>
      <c r="K107" s="549"/>
      <c r="L107" s="550"/>
      <c r="M107" s="185"/>
      <c r="N107" s="185"/>
    </row>
    <row r="108" spans="1:16" ht="103.5"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2704"/>
      <c r="B109" s="1899"/>
      <c r="C109" s="106">
        <v>2014</v>
      </c>
      <c r="D109" s="31"/>
      <c r="E109" s="174"/>
      <c r="F109" s="175"/>
      <c r="G109" s="175"/>
      <c r="H109" s="175"/>
      <c r="I109" s="175"/>
      <c r="J109" s="175"/>
      <c r="K109" s="175"/>
      <c r="L109" s="176"/>
      <c r="M109" s="185"/>
      <c r="N109" s="185"/>
    </row>
    <row r="110" spans="1:16">
      <c r="A110" s="1891"/>
      <c r="B110" s="1899"/>
      <c r="C110" s="110">
        <v>2015</v>
      </c>
      <c r="D110" s="38"/>
      <c r="E110" s="177"/>
      <c r="F110" s="178"/>
      <c r="G110" s="178"/>
      <c r="H110" s="178"/>
      <c r="I110" s="178"/>
      <c r="J110" s="178"/>
      <c r="K110" s="178"/>
      <c r="L110" s="179"/>
      <c r="M110" s="185"/>
      <c r="N110" s="185"/>
    </row>
    <row r="111" spans="1:16">
      <c r="A111" s="1891"/>
      <c r="B111" s="1899"/>
      <c r="C111" s="110">
        <v>2016</v>
      </c>
      <c r="D111" s="38"/>
      <c r="E111" s="177"/>
      <c r="F111" s="178"/>
      <c r="G111" s="178"/>
      <c r="H111" s="178"/>
      <c r="I111" s="178"/>
      <c r="J111" s="178"/>
      <c r="K111" s="178"/>
      <c r="L111" s="179"/>
      <c r="M111" s="185"/>
      <c r="N111" s="185"/>
    </row>
    <row r="112" spans="1:16">
      <c r="A112" s="1891"/>
      <c r="B112" s="1899"/>
      <c r="C112" s="110">
        <v>2017</v>
      </c>
      <c r="D112" s="38"/>
      <c r="E112" s="177"/>
      <c r="F112" s="178"/>
      <c r="G112" s="178"/>
      <c r="H112" s="178"/>
      <c r="I112" s="178"/>
      <c r="J112" s="178"/>
      <c r="K112" s="178"/>
      <c r="L112" s="179"/>
      <c r="M112" s="185"/>
      <c r="N112" s="185"/>
    </row>
    <row r="113" spans="1:14">
      <c r="A113" s="1891"/>
      <c r="B113" s="1899"/>
      <c r="C113" s="110">
        <v>2018</v>
      </c>
      <c r="D113" s="38"/>
      <c r="E113" s="177"/>
      <c r="F113" s="178"/>
      <c r="G113" s="178"/>
      <c r="H113" s="178"/>
      <c r="I113" s="178"/>
      <c r="J113" s="178"/>
      <c r="K113" s="178"/>
      <c r="L113" s="179"/>
      <c r="M113" s="185"/>
      <c r="N113" s="185"/>
    </row>
    <row r="114" spans="1:14">
      <c r="A114" s="1891"/>
      <c r="B114" s="1899"/>
      <c r="C114" s="110">
        <v>2019</v>
      </c>
      <c r="D114" s="38"/>
      <c r="E114" s="177"/>
      <c r="F114" s="178"/>
      <c r="G114" s="178"/>
      <c r="H114" s="178"/>
      <c r="I114" s="178"/>
      <c r="J114" s="178"/>
      <c r="K114" s="178"/>
      <c r="L114" s="179"/>
      <c r="M114" s="185"/>
      <c r="N114" s="185"/>
    </row>
    <row r="115" spans="1:14">
      <c r="A115" s="1891"/>
      <c r="B115" s="1899"/>
      <c r="C115" s="110">
        <v>2020</v>
      </c>
      <c r="D115" s="38"/>
      <c r="E115" s="177"/>
      <c r="F115" s="178"/>
      <c r="G115" s="178"/>
      <c r="H115" s="178"/>
      <c r="I115" s="178"/>
      <c r="J115" s="178"/>
      <c r="K115" s="178"/>
      <c r="L115" s="179"/>
      <c r="M115" s="185"/>
      <c r="N115" s="185"/>
    </row>
    <row r="116" spans="1:14" ht="25.5" customHeight="1" thickBot="1">
      <c r="A116" s="1915"/>
      <c r="B116" s="1900"/>
      <c r="C116" s="113" t="s">
        <v>13</v>
      </c>
      <c r="D116" s="116">
        <f t="shared" ref="D116:I116" si="9">SUM(D109:D115)</f>
        <v>0</v>
      </c>
      <c r="E116" s="180">
        <f t="shared" si="9"/>
        <v>0</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051" t="s">
        <v>81</v>
      </c>
      <c r="B118" s="2052" t="s">
        <v>179</v>
      </c>
      <c r="C118" s="2058" t="s">
        <v>9</v>
      </c>
      <c r="D118" s="2414" t="s">
        <v>82</v>
      </c>
      <c r="E118" s="162" t="s">
        <v>79</v>
      </c>
      <c r="F118" s="549"/>
      <c r="G118" s="549"/>
      <c r="H118" s="549"/>
      <c r="I118" s="549"/>
      <c r="J118" s="549"/>
      <c r="K118" s="549"/>
      <c r="L118" s="550"/>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2608"/>
      <c r="B120" s="2697"/>
      <c r="C120" s="106">
        <v>2014</v>
      </c>
      <c r="D120" s="31"/>
      <c r="E120" s="174"/>
      <c r="F120" s="175"/>
      <c r="G120" s="175"/>
      <c r="H120" s="175"/>
      <c r="I120" s="175"/>
      <c r="J120" s="175"/>
      <c r="K120" s="175"/>
      <c r="L120" s="176"/>
      <c r="M120" s="185"/>
      <c r="N120" s="185"/>
    </row>
    <row r="121" spans="1:14">
      <c r="A121" s="2593"/>
      <c r="B121" s="2697"/>
      <c r="C121" s="110">
        <v>2015</v>
      </c>
      <c r="D121" s="38"/>
      <c r="E121" s="177"/>
      <c r="F121" s="178"/>
      <c r="G121" s="178"/>
      <c r="H121" s="178"/>
      <c r="I121" s="178"/>
      <c r="J121" s="178"/>
      <c r="K121" s="178"/>
      <c r="L121" s="179"/>
      <c r="M121" s="185"/>
      <c r="N121" s="185"/>
    </row>
    <row r="122" spans="1:14">
      <c r="A122" s="2593"/>
      <c r="B122" s="2697"/>
      <c r="C122" s="110">
        <v>2016</v>
      </c>
      <c r="D122" s="38"/>
      <c r="E122" s="177"/>
      <c r="F122" s="178"/>
      <c r="G122" s="178"/>
      <c r="H122" s="178"/>
      <c r="I122" s="178"/>
      <c r="J122" s="178"/>
      <c r="K122" s="178"/>
      <c r="L122" s="179"/>
      <c r="M122" s="185"/>
      <c r="N122" s="185"/>
    </row>
    <row r="123" spans="1:14">
      <c r="A123" s="2593"/>
      <c r="B123" s="2697"/>
      <c r="C123" s="110">
        <v>2017</v>
      </c>
      <c r="D123" s="38"/>
      <c r="E123" s="177"/>
      <c r="F123" s="178"/>
      <c r="G123" s="178"/>
      <c r="H123" s="178"/>
      <c r="I123" s="178"/>
      <c r="J123" s="178"/>
      <c r="K123" s="178"/>
      <c r="L123" s="179"/>
      <c r="M123" s="185"/>
      <c r="N123" s="185"/>
    </row>
    <row r="124" spans="1:14">
      <c r="A124" s="2593"/>
      <c r="B124" s="2697"/>
      <c r="C124" s="110">
        <v>2018</v>
      </c>
      <c r="D124" s="38"/>
      <c r="E124" s="177"/>
      <c r="F124" s="178"/>
      <c r="G124" s="178"/>
      <c r="H124" s="178"/>
      <c r="I124" s="178"/>
      <c r="J124" s="178"/>
      <c r="K124" s="178"/>
      <c r="L124" s="179"/>
      <c r="M124" s="185"/>
      <c r="N124" s="185"/>
    </row>
    <row r="125" spans="1:14">
      <c r="A125" s="2593"/>
      <c r="B125" s="2697"/>
      <c r="C125" s="110">
        <v>2019</v>
      </c>
      <c r="D125" s="38"/>
      <c r="E125" s="177"/>
      <c r="F125" s="178"/>
      <c r="G125" s="178"/>
      <c r="H125" s="178"/>
      <c r="I125" s="178"/>
      <c r="J125" s="178"/>
      <c r="K125" s="178"/>
      <c r="L125" s="179"/>
      <c r="M125" s="185"/>
      <c r="N125" s="185"/>
    </row>
    <row r="126" spans="1:14">
      <c r="A126" s="2593"/>
      <c r="B126" s="2697"/>
      <c r="C126" s="110">
        <v>2020</v>
      </c>
      <c r="D126" s="38"/>
      <c r="E126" s="177"/>
      <c r="F126" s="178"/>
      <c r="G126" s="178"/>
      <c r="H126" s="178"/>
      <c r="I126" s="178"/>
      <c r="J126" s="178"/>
      <c r="K126" s="178"/>
      <c r="L126" s="179"/>
      <c r="M126" s="185"/>
      <c r="N126" s="185"/>
    </row>
    <row r="127" spans="1:14" ht="15.75" thickBot="1">
      <c r="A127" s="2595"/>
      <c r="B127" s="2698"/>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051" t="s">
        <v>84</v>
      </c>
      <c r="B129" s="2052" t="s">
        <v>179</v>
      </c>
      <c r="C129" s="1534" t="s">
        <v>9</v>
      </c>
      <c r="D129" s="189" t="s">
        <v>85</v>
      </c>
      <c r="E129" s="553"/>
      <c r="F129" s="553"/>
      <c r="G129" s="191"/>
      <c r="H129" s="185"/>
      <c r="I129" s="185"/>
      <c r="J129" s="185"/>
      <c r="K129" s="185"/>
      <c r="L129" s="185"/>
      <c r="M129" s="185"/>
      <c r="N129" s="185"/>
    </row>
    <row r="130" spans="1:16" ht="77.25" customHeight="1">
      <c r="A130" s="1910"/>
      <c r="B130" s="1912"/>
      <c r="C130" s="1528"/>
      <c r="D130" s="166" t="s">
        <v>86</v>
      </c>
      <c r="E130" s="193" t="s">
        <v>87</v>
      </c>
      <c r="F130" s="167" t="s">
        <v>88</v>
      </c>
      <c r="G130" s="194" t="s">
        <v>13</v>
      </c>
      <c r="H130" s="185"/>
      <c r="I130" s="185"/>
      <c r="J130" s="185"/>
      <c r="K130" s="185"/>
      <c r="L130" s="185"/>
      <c r="M130" s="185"/>
      <c r="N130" s="185"/>
    </row>
    <row r="131" spans="1:16" ht="15" customHeight="1">
      <c r="A131" s="2588"/>
      <c r="B131" s="2032"/>
      <c r="C131" s="106">
        <v>2015</v>
      </c>
      <c r="D131" s="30"/>
      <c r="E131" s="31"/>
      <c r="F131" s="31"/>
      <c r="G131" s="195">
        <f t="shared" ref="G131:G136" si="11">SUM(D131:F131)</f>
        <v>0</v>
      </c>
      <c r="H131" s="185"/>
      <c r="I131" s="185"/>
      <c r="J131" s="185"/>
      <c r="K131" s="185"/>
      <c r="L131" s="185"/>
      <c r="M131" s="185"/>
      <c r="N131" s="185"/>
    </row>
    <row r="132" spans="1:16">
      <c r="A132" s="2610"/>
      <c r="B132" s="2032"/>
      <c r="C132" s="110">
        <v>2016</v>
      </c>
      <c r="D132" s="37"/>
      <c r="E132" s="38"/>
      <c r="F132" s="38"/>
      <c r="G132" s="195">
        <f t="shared" si="11"/>
        <v>0</v>
      </c>
      <c r="H132" s="185"/>
      <c r="I132" s="185"/>
      <c r="J132" s="185"/>
      <c r="K132" s="185"/>
      <c r="L132" s="185"/>
      <c r="M132" s="185"/>
      <c r="N132" s="185"/>
    </row>
    <row r="133" spans="1:16">
      <c r="A133" s="2610"/>
      <c r="B133" s="2032"/>
      <c r="C133" s="110">
        <v>2017</v>
      </c>
      <c r="D133" s="37"/>
      <c r="E133" s="38"/>
      <c r="F133" s="38"/>
      <c r="G133" s="195">
        <f t="shared" si="11"/>
        <v>0</v>
      </c>
      <c r="H133" s="185"/>
      <c r="I133" s="185"/>
      <c r="J133" s="185"/>
      <c r="K133" s="185"/>
      <c r="L133" s="185"/>
      <c r="M133" s="185"/>
      <c r="N133" s="185"/>
    </row>
    <row r="134" spans="1:16">
      <c r="A134" s="2610"/>
      <c r="B134" s="2032"/>
      <c r="C134" s="110">
        <v>2018</v>
      </c>
      <c r="D134" s="37"/>
      <c r="E134" s="38"/>
      <c r="F134" s="38"/>
      <c r="G134" s="195">
        <f t="shared" si="11"/>
        <v>0</v>
      </c>
      <c r="H134" s="185"/>
      <c r="I134" s="185"/>
      <c r="J134" s="185"/>
      <c r="K134" s="185"/>
      <c r="L134" s="185"/>
      <c r="M134" s="185"/>
      <c r="N134" s="185"/>
    </row>
    <row r="135" spans="1:16">
      <c r="A135" s="2610"/>
      <c r="B135" s="2032"/>
      <c r="C135" s="110">
        <v>2019</v>
      </c>
      <c r="D135" s="37"/>
      <c r="E135" s="38"/>
      <c r="F135" s="38"/>
      <c r="G135" s="195">
        <f t="shared" si="11"/>
        <v>0</v>
      </c>
      <c r="H135" s="185"/>
      <c r="I135" s="185"/>
      <c r="J135" s="185"/>
      <c r="K135" s="185"/>
      <c r="L135" s="185"/>
      <c r="M135" s="185"/>
      <c r="N135" s="185"/>
    </row>
    <row r="136" spans="1:16">
      <c r="A136" s="2610"/>
      <c r="B136" s="2032"/>
      <c r="C136" s="110">
        <v>2020</v>
      </c>
      <c r="D136" s="37"/>
      <c r="E136" s="38"/>
      <c r="F136" s="38"/>
      <c r="G136" s="195">
        <f t="shared" si="11"/>
        <v>0</v>
      </c>
      <c r="H136" s="185"/>
      <c r="I136" s="185"/>
      <c r="J136" s="185"/>
      <c r="K136" s="185"/>
      <c r="L136" s="185"/>
      <c r="M136" s="185"/>
      <c r="N136" s="185"/>
    </row>
    <row r="137" spans="1:16" ht="17.25" customHeight="1" thickBot="1">
      <c r="A137" s="2612"/>
      <c r="B137" s="2033"/>
      <c r="C137" s="113" t="s">
        <v>13</v>
      </c>
      <c r="D137" s="139">
        <f>SUM(D131:D136)</f>
        <v>0</v>
      </c>
      <c r="E137" s="139">
        <f t="shared" ref="E137:F137" si="12">SUM(E131:E136)</f>
        <v>0</v>
      </c>
      <c r="F137" s="139">
        <f t="shared" si="12"/>
        <v>0</v>
      </c>
      <c r="G137" s="196">
        <f>SUM(G131:G136)</f>
        <v>0</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050" t="s">
        <v>91</v>
      </c>
      <c r="B142" s="2048" t="s">
        <v>179</v>
      </c>
      <c r="C142" s="2043" t="s">
        <v>9</v>
      </c>
      <c r="D142" s="554" t="s">
        <v>92</v>
      </c>
      <c r="E142" s="555"/>
      <c r="F142" s="555"/>
      <c r="G142" s="555"/>
      <c r="H142" s="555"/>
      <c r="I142" s="556"/>
      <c r="J142" s="2044" t="s">
        <v>93</v>
      </c>
      <c r="K142" s="2045"/>
      <c r="L142" s="2045"/>
      <c r="M142" s="2045"/>
      <c r="N142" s="2046"/>
      <c r="O142" s="165"/>
      <c r="P142" s="165"/>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t="s">
        <v>560</v>
      </c>
      <c r="B144" s="1899"/>
      <c r="C144" s="106">
        <v>2014</v>
      </c>
      <c r="D144" s="30"/>
      <c r="E144" s="30"/>
      <c r="F144" s="31"/>
      <c r="G144" s="175"/>
      <c r="H144" s="175"/>
      <c r="I144" s="213">
        <f>D144+F144+G144+H144</f>
        <v>0</v>
      </c>
      <c r="J144" s="214"/>
      <c r="K144" s="215"/>
      <c r="L144" s="214"/>
      <c r="M144" s="215"/>
      <c r="N144" s="216"/>
      <c r="O144" s="165"/>
      <c r="P144" s="165"/>
    </row>
    <row r="145" spans="1:16" ht="19.5" customHeight="1">
      <c r="A145" s="1891"/>
      <c r="B145" s="1899"/>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1891"/>
      <c r="B146" s="1899"/>
      <c r="C146" s="110">
        <v>2016</v>
      </c>
      <c r="D146" s="37"/>
      <c r="E146" s="37"/>
      <c r="F146" s="38"/>
      <c r="G146" s="178"/>
      <c r="H146" s="178"/>
      <c r="I146" s="213">
        <f t="shared" si="13"/>
        <v>0</v>
      </c>
      <c r="J146" s="217"/>
      <c r="K146" s="218"/>
      <c r="L146" s="217"/>
      <c r="M146" s="218"/>
      <c r="N146" s="219"/>
      <c r="O146" s="165"/>
      <c r="P146" s="165"/>
    </row>
    <row r="147" spans="1:16" ht="17.25" customHeight="1">
      <c r="A147" s="1891"/>
      <c r="B147" s="1899"/>
      <c r="C147" s="110">
        <v>2017</v>
      </c>
      <c r="D147" s="37"/>
      <c r="E147" s="37"/>
      <c r="F147" s="38"/>
      <c r="G147" s="178"/>
      <c r="H147" s="178"/>
      <c r="I147" s="213">
        <f t="shared" si="13"/>
        <v>0</v>
      </c>
      <c r="J147" s="217"/>
      <c r="K147" s="218"/>
      <c r="L147" s="217"/>
      <c r="M147" s="218"/>
      <c r="N147" s="219"/>
      <c r="O147" s="165"/>
      <c r="P147" s="165"/>
    </row>
    <row r="148" spans="1:16" ht="19.5" customHeight="1">
      <c r="A148" s="1891"/>
      <c r="B148" s="1899"/>
      <c r="C148" s="110">
        <v>2018</v>
      </c>
      <c r="D148" s="37"/>
      <c r="E148" s="37"/>
      <c r="F148" s="38"/>
      <c r="G148" s="178"/>
      <c r="H148" s="178"/>
      <c r="I148" s="213">
        <f t="shared" si="13"/>
        <v>0</v>
      </c>
      <c r="J148" s="217"/>
      <c r="K148" s="218"/>
      <c r="L148" s="217"/>
      <c r="M148" s="218"/>
      <c r="N148" s="219"/>
      <c r="O148" s="165"/>
      <c r="P148" s="165"/>
    </row>
    <row r="149" spans="1:16" ht="19.5" customHeight="1">
      <c r="A149" s="1891"/>
      <c r="B149" s="1899"/>
      <c r="C149" s="110">
        <v>2019</v>
      </c>
      <c r="D149" s="37"/>
      <c r="E149" s="37"/>
      <c r="F149" s="38"/>
      <c r="G149" s="178"/>
      <c r="H149" s="178"/>
      <c r="I149" s="213">
        <f t="shared" si="13"/>
        <v>0</v>
      </c>
      <c r="J149" s="217"/>
      <c r="K149" s="218"/>
      <c r="L149" s="217"/>
      <c r="M149" s="218"/>
      <c r="N149" s="219"/>
      <c r="O149" s="165"/>
      <c r="P149" s="165"/>
    </row>
    <row r="150" spans="1:16" ht="18.75" customHeight="1">
      <c r="A150" s="1891"/>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1.75" customHeight="1" thickBot="1">
      <c r="B152" s="224"/>
      <c r="O152" s="165"/>
      <c r="P152" s="165"/>
    </row>
    <row r="153" spans="1:16" ht="35.25" customHeight="1">
      <c r="A153" s="2047" t="s">
        <v>105</v>
      </c>
      <c r="B153" s="2048" t="s">
        <v>179</v>
      </c>
      <c r="C153" s="2049" t="s">
        <v>9</v>
      </c>
      <c r="D153" s="557" t="s">
        <v>106</v>
      </c>
      <c r="E153" s="557"/>
      <c r="F153" s="558"/>
      <c r="G153" s="558"/>
      <c r="H153" s="557" t="s">
        <v>107</v>
      </c>
      <c r="I153" s="557"/>
      <c r="J153" s="559"/>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1898"/>
      <c r="B155" s="1899"/>
      <c r="C155" s="233">
        <v>2014</v>
      </c>
      <c r="D155" s="214"/>
      <c r="E155" s="175"/>
      <c r="F155" s="215"/>
      <c r="G155" s="213">
        <f>SUM(D155:F155)</f>
        <v>0</v>
      </c>
      <c r="H155" s="214"/>
      <c r="I155" s="175"/>
      <c r="J155" s="176"/>
      <c r="O155" s="165"/>
      <c r="P155" s="165"/>
    </row>
    <row r="156" spans="1:16" ht="19.5" customHeight="1">
      <c r="A156" s="1891"/>
      <c r="B156" s="1899"/>
      <c r="C156" s="234">
        <v>2015</v>
      </c>
      <c r="D156" s="217"/>
      <c r="E156" s="178"/>
      <c r="F156" s="218"/>
      <c r="G156" s="213">
        <f t="shared" ref="G156:G161" si="15">SUM(D156:F156)</f>
        <v>0</v>
      </c>
      <c r="H156" s="217"/>
      <c r="I156" s="178"/>
      <c r="J156" s="179"/>
      <c r="O156" s="165"/>
      <c r="P156" s="165"/>
    </row>
    <row r="157" spans="1:16" ht="17.25" customHeight="1">
      <c r="A157" s="1891"/>
      <c r="B157" s="1899"/>
      <c r="C157" s="234">
        <v>2016</v>
      </c>
      <c r="D157" s="217"/>
      <c r="E157" s="178"/>
      <c r="F157" s="218"/>
      <c r="G157" s="213">
        <v>0</v>
      </c>
      <c r="H157" s="217"/>
      <c r="I157" s="178"/>
      <c r="J157" s="179"/>
      <c r="O157" s="165"/>
      <c r="P157" s="165"/>
    </row>
    <row r="158" spans="1:16" ht="15" customHeight="1">
      <c r="A158" s="1891"/>
      <c r="B158" s="1899"/>
      <c r="C158" s="234">
        <v>2017</v>
      </c>
      <c r="D158" s="217"/>
      <c r="E158" s="178"/>
      <c r="F158" s="218"/>
      <c r="G158" s="213">
        <f t="shared" si="15"/>
        <v>0</v>
      </c>
      <c r="H158" s="217"/>
      <c r="I158" s="178"/>
      <c r="J158" s="179"/>
      <c r="O158" s="165"/>
      <c r="P158" s="165"/>
    </row>
    <row r="159" spans="1:16" ht="19.5" customHeight="1">
      <c r="A159" s="1891"/>
      <c r="B159" s="1899"/>
      <c r="C159" s="234">
        <v>2018</v>
      </c>
      <c r="D159" s="217"/>
      <c r="E159" s="178"/>
      <c r="F159" s="218"/>
      <c r="G159" s="213">
        <f t="shared" si="15"/>
        <v>0</v>
      </c>
      <c r="H159" s="217"/>
      <c r="I159" s="178"/>
      <c r="J159" s="179"/>
      <c r="O159" s="165"/>
      <c r="P159" s="165"/>
    </row>
    <row r="160" spans="1:16" ht="15" customHeight="1">
      <c r="A160" s="1891"/>
      <c r="B160" s="1899"/>
      <c r="C160" s="234">
        <v>2019</v>
      </c>
      <c r="D160" s="217"/>
      <c r="E160" s="178"/>
      <c r="F160" s="218"/>
      <c r="G160" s="213">
        <f t="shared" si="15"/>
        <v>0</v>
      </c>
      <c r="H160" s="217"/>
      <c r="I160" s="178"/>
      <c r="J160" s="179"/>
      <c r="O160" s="165"/>
      <c r="P160" s="165"/>
    </row>
    <row r="161" spans="1:18" ht="17.25" customHeight="1">
      <c r="A161" s="1891"/>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560"/>
      <c r="F163" s="165"/>
      <c r="G163" s="165"/>
      <c r="H163" s="165"/>
      <c r="I163" s="165"/>
      <c r="J163" s="241"/>
      <c r="K163" s="242"/>
    </row>
    <row r="164" spans="1:18" ht="95.25" customHeight="1">
      <c r="A164" s="243" t="s">
        <v>115</v>
      </c>
      <c r="B164" s="405" t="s">
        <v>181</v>
      </c>
      <c r="C164" s="1567" t="s">
        <v>9</v>
      </c>
      <c r="D164" s="246" t="s">
        <v>117</v>
      </c>
      <c r="E164" s="246" t="s">
        <v>118</v>
      </c>
      <c r="F164" s="561" t="s">
        <v>119</v>
      </c>
      <c r="G164" s="246" t="s">
        <v>120</v>
      </c>
      <c r="H164" s="246" t="s">
        <v>121</v>
      </c>
      <c r="I164" s="248" t="s">
        <v>122</v>
      </c>
      <c r="J164" s="249" t="s">
        <v>123</v>
      </c>
      <c r="K164" s="249" t="s">
        <v>124</v>
      </c>
      <c r="L164" s="1531"/>
    </row>
    <row r="165" spans="1:18" ht="15.75" customHeight="1">
      <c r="A165" s="2510" t="s">
        <v>561</v>
      </c>
      <c r="B165" s="2636"/>
      <c r="C165" s="251">
        <v>2014</v>
      </c>
      <c r="D165" s="175"/>
      <c r="E165" s="175"/>
      <c r="F165" s="175"/>
      <c r="G165" s="175"/>
      <c r="H165" s="175"/>
      <c r="I165" s="176"/>
      <c r="J165" s="252">
        <f>SUM(D165,F165,H165)</f>
        <v>0</v>
      </c>
      <c r="K165" s="253">
        <f>SUM(E165,G165,I165)</f>
        <v>0</v>
      </c>
      <c r="L165" s="1531"/>
    </row>
    <row r="166" spans="1:18">
      <c r="A166" s="2512"/>
      <c r="B166" s="2032"/>
      <c r="C166" s="254">
        <v>2015</v>
      </c>
      <c r="D166" s="255"/>
      <c r="E166" s="255"/>
      <c r="F166" s="255"/>
      <c r="G166" s="255"/>
      <c r="H166" s="255"/>
      <c r="I166" s="256"/>
      <c r="J166" s="407">
        <f t="shared" ref="J166:K171" si="17">SUM(D166,F166,H166)</f>
        <v>0</v>
      </c>
      <c r="K166" s="408">
        <f t="shared" si="17"/>
        <v>0</v>
      </c>
      <c r="L166" s="1531"/>
    </row>
    <row r="167" spans="1:18">
      <c r="A167" s="2512"/>
      <c r="B167" s="2032"/>
      <c r="C167" s="254">
        <v>2016</v>
      </c>
      <c r="D167" s="255"/>
      <c r="E167" s="255"/>
      <c r="F167" s="255"/>
      <c r="G167" s="255"/>
      <c r="H167" s="255"/>
      <c r="I167" s="256"/>
      <c r="J167" s="407">
        <f t="shared" si="17"/>
        <v>0</v>
      </c>
      <c r="K167" s="408">
        <f t="shared" si="17"/>
        <v>0</v>
      </c>
    </row>
    <row r="168" spans="1:18">
      <c r="A168" s="2512"/>
      <c r="B168" s="2032"/>
      <c r="C168" s="254">
        <v>2017</v>
      </c>
      <c r="D168" s="255"/>
      <c r="E168" s="165">
        <v>2</v>
      </c>
      <c r="F168" s="255"/>
      <c r="G168" s="255"/>
      <c r="H168" s="255"/>
      <c r="I168" s="256"/>
      <c r="J168" s="407">
        <f t="shared" si="17"/>
        <v>0</v>
      </c>
      <c r="K168" s="408">
        <f t="shared" si="17"/>
        <v>2</v>
      </c>
    </row>
    <row r="169" spans="1:18">
      <c r="A169" s="2512"/>
      <c r="B169" s="2032"/>
      <c r="C169" s="262">
        <v>2018</v>
      </c>
      <c r="D169" s="255"/>
      <c r="E169" s="255"/>
      <c r="F169" s="255"/>
      <c r="G169" s="263"/>
      <c r="H169" s="255"/>
      <c r="I169" s="256"/>
      <c r="J169" s="407">
        <f t="shared" si="17"/>
        <v>0</v>
      </c>
      <c r="K169" s="408">
        <f t="shared" si="17"/>
        <v>0</v>
      </c>
      <c r="L169" s="1531"/>
    </row>
    <row r="170" spans="1:18">
      <c r="A170" s="2512"/>
      <c r="B170" s="2032"/>
      <c r="C170" s="254">
        <v>2019</v>
      </c>
      <c r="D170" s="165"/>
      <c r="E170" s="255"/>
      <c r="F170" s="255"/>
      <c r="G170" s="255"/>
      <c r="H170" s="263"/>
      <c r="I170" s="256"/>
      <c r="J170" s="407">
        <f t="shared" si="17"/>
        <v>0</v>
      </c>
      <c r="K170" s="408">
        <f t="shared" si="17"/>
        <v>0</v>
      </c>
      <c r="L170" s="1531"/>
    </row>
    <row r="171" spans="1:18">
      <c r="A171" s="2512"/>
      <c r="B171" s="2032"/>
      <c r="C171" s="262">
        <v>2020</v>
      </c>
      <c r="D171" s="255"/>
      <c r="E171" s="255"/>
      <c r="F171" s="255"/>
      <c r="G171" s="255"/>
      <c r="H171" s="255"/>
      <c r="I171" s="256"/>
      <c r="J171" s="407">
        <f t="shared" si="17"/>
        <v>0</v>
      </c>
      <c r="K171" s="408">
        <f t="shared" si="17"/>
        <v>0</v>
      </c>
      <c r="L171" s="1531"/>
    </row>
    <row r="172" spans="1:18" ht="41.25" customHeight="1" thickBot="1">
      <c r="A172" s="2514"/>
      <c r="B172" s="2033"/>
      <c r="C172" s="265" t="s">
        <v>13</v>
      </c>
      <c r="D172" s="181">
        <f>SUM(D165:D171)</f>
        <v>0</v>
      </c>
      <c r="E172" s="181">
        <f t="shared" ref="E172:K172" si="18">SUM(E165:E171)</f>
        <v>2</v>
      </c>
      <c r="F172" s="181">
        <f t="shared" si="18"/>
        <v>0</v>
      </c>
      <c r="G172" s="181">
        <f t="shared" si="18"/>
        <v>0</v>
      </c>
      <c r="H172" s="181">
        <f t="shared" si="18"/>
        <v>0</v>
      </c>
      <c r="I172" s="409">
        <f t="shared" si="18"/>
        <v>0</v>
      </c>
      <c r="J172" s="410">
        <f t="shared" si="18"/>
        <v>0</v>
      </c>
      <c r="K172" s="221">
        <f t="shared" si="18"/>
        <v>2</v>
      </c>
      <c r="L172" s="1531"/>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039" t="s">
        <v>127</v>
      </c>
      <c r="B176" s="2037" t="s">
        <v>182</v>
      </c>
      <c r="C176" s="2040" t="s">
        <v>9</v>
      </c>
      <c r="D176" s="273" t="s">
        <v>128</v>
      </c>
      <c r="E176" s="562"/>
      <c r="F176" s="562"/>
      <c r="G176" s="563"/>
      <c r="H176" s="276"/>
      <c r="I176" s="1888" t="s">
        <v>129</v>
      </c>
      <c r="J176" s="2041"/>
      <c r="K176" s="2041"/>
      <c r="L176" s="2041"/>
      <c r="M176" s="2041"/>
      <c r="N176" s="2041"/>
      <c r="O176" s="2042"/>
    </row>
    <row r="177" spans="1:15" s="56" customFormat="1" ht="129.7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2696" t="s">
        <v>562</v>
      </c>
      <c r="B178" s="2697"/>
      <c r="C178" s="106">
        <v>2014</v>
      </c>
      <c r="D178" s="30"/>
      <c r="E178" s="31"/>
      <c r="F178" s="31"/>
      <c r="G178" s="284">
        <f>SUM(D178:F178)</f>
        <v>0</v>
      </c>
      <c r="H178" s="155"/>
      <c r="I178" s="155"/>
      <c r="J178" s="31"/>
      <c r="K178" s="31"/>
      <c r="L178" s="31"/>
      <c r="M178" s="31"/>
      <c r="N178" s="31"/>
      <c r="O178" s="34"/>
    </row>
    <row r="179" spans="1:15">
      <c r="A179" s="2593"/>
      <c r="B179" s="2697"/>
      <c r="C179" s="110">
        <v>2015</v>
      </c>
      <c r="D179" s="37"/>
      <c r="E179" s="38"/>
      <c r="F179" s="38"/>
      <c r="G179" s="284">
        <f t="shared" ref="G179:G184" si="19">SUM(D179:F179)</f>
        <v>0</v>
      </c>
      <c r="H179" s="411"/>
      <c r="I179" s="112"/>
      <c r="J179" s="38"/>
      <c r="K179" s="38"/>
      <c r="L179" s="38"/>
      <c r="M179" s="38"/>
      <c r="N179" s="38"/>
      <c r="O179" s="88"/>
    </row>
    <row r="180" spans="1:15">
      <c r="A180" s="2593"/>
      <c r="B180" s="2697"/>
      <c r="C180" s="110">
        <v>2016</v>
      </c>
      <c r="D180" s="37">
        <v>1</v>
      </c>
      <c r="E180" s="38">
        <v>2</v>
      </c>
      <c r="F180" s="38"/>
      <c r="G180" s="284">
        <f t="shared" si="19"/>
        <v>3</v>
      </c>
      <c r="H180" s="411">
        <v>6</v>
      </c>
      <c r="I180" s="112">
        <v>1</v>
      </c>
      <c r="J180" s="38">
        <v>1</v>
      </c>
      <c r="K180" s="38">
        <v>1</v>
      </c>
      <c r="L180" s="38"/>
      <c r="M180" s="38"/>
      <c r="N180" s="38"/>
      <c r="O180" s="88"/>
    </row>
    <row r="181" spans="1:15">
      <c r="A181" s="2593"/>
      <c r="B181" s="2697"/>
      <c r="C181" s="110">
        <v>2017</v>
      </c>
      <c r="D181" s="37">
        <v>2</v>
      </c>
      <c r="E181" s="38">
        <v>5</v>
      </c>
      <c r="F181" s="38">
        <v>1</v>
      </c>
      <c r="G181" s="284">
        <f t="shared" si="19"/>
        <v>8</v>
      </c>
      <c r="H181" s="411">
        <v>18</v>
      </c>
      <c r="I181" s="112">
        <v>8</v>
      </c>
      <c r="J181" s="38"/>
      <c r="K181" s="38"/>
      <c r="L181" s="38"/>
      <c r="M181" s="38"/>
      <c r="N181" s="38"/>
      <c r="O181" s="88"/>
    </row>
    <row r="182" spans="1:15">
      <c r="A182" s="2593"/>
      <c r="B182" s="2697"/>
      <c r="C182" s="110">
        <v>2018</v>
      </c>
      <c r="D182" s="37"/>
      <c r="E182" s="38"/>
      <c r="F182" s="38"/>
      <c r="G182" s="284">
        <f t="shared" si="19"/>
        <v>0</v>
      </c>
      <c r="H182" s="411"/>
      <c r="I182" s="112"/>
      <c r="J182" s="38"/>
      <c r="K182" s="38"/>
      <c r="L182" s="38"/>
      <c r="M182" s="38"/>
      <c r="N182" s="38"/>
      <c r="O182" s="88"/>
    </row>
    <row r="183" spans="1:15">
      <c r="A183" s="2593"/>
      <c r="B183" s="2697"/>
      <c r="C183" s="110">
        <v>2019</v>
      </c>
      <c r="D183" s="37"/>
      <c r="E183" s="38"/>
      <c r="F183" s="38"/>
      <c r="G183" s="284">
        <f t="shared" si="19"/>
        <v>0</v>
      </c>
      <c r="H183" s="411"/>
      <c r="I183" s="112"/>
      <c r="J183" s="38"/>
      <c r="K183" s="38"/>
      <c r="L183" s="38"/>
      <c r="M183" s="38"/>
      <c r="N183" s="38"/>
      <c r="O183" s="88"/>
    </row>
    <row r="184" spans="1:15">
      <c r="A184" s="2593"/>
      <c r="B184" s="2697"/>
      <c r="C184" s="110">
        <v>2020</v>
      </c>
      <c r="D184" s="37"/>
      <c r="E184" s="38"/>
      <c r="F184" s="38"/>
      <c r="G184" s="284">
        <f t="shared" si="19"/>
        <v>0</v>
      </c>
      <c r="H184" s="411"/>
      <c r="I184" s="112"/>
      <c r="J184" s="38"/>
      <c r="K184" s="38"/>
      <c r="L184" s="38"/>
      <c r="M184" s="38"/>
      <c r="N184" s="38"/>
      <c r="O184" s="88"/>
    </row>
    <row r="185" spans="1:15" ht="409.5" customHeight="1" thickBot="1">
      <c r="A185" s="2595"/>
      <c r="B185" s="2698"/>
      <c r="C185" s="113" t="s">
        <v>13</v>
      </c>
      <c r="D185" s="139">
        <v>1</v>
      </c>
      <c r="E185" s="116">
        <v>2</v>
      </c>
      <c r="F185" s="116">
        <f>SUM(F178:F184)</f>
        <v>1</v>
      </c>
      <c r="G185" s="220">
        <f t="shared" ref="G185:O185" si="20">SUM(G178:G184)</f>
        <v>11</v>
      </c>
      <c r="H185" s="285"/>
      <c r="I185" s="115">
        <v>1</v>
      </c>
      <c r="J185" s="116">
        <v>1</v>
      </c>
      <c r="K185" s="116">
        <v>1</v>
      </c>
      <c r="L185" s="116">
        <f t="shared" si="20"/>
        <v>0</v>
      </c>
      <c r="M185" s="116">
        <f t="shared" si="20"/>
        <v>0</v>
      </c>
      <c r="N185" s="116">
        <f t="shared" si="20"/>
        <v>0</v>
      </c>
      <c r="O185" s="117">
        <f t="shared" si="20"/>
        <v>0</v>
      </c>
    </row>
    <row r="186" spans="1:15" ht="33" customHeight="1" thickBot="1"/>
    <row r="187" spans="1:15" ht="19.5" customHeight="1">
      <c r="A187" s="1861" t="s">
        <v>137</v>
      </c>
      <c r="B187" s="2037" t="s">
        <v>182</v>
      </c>
      <c r="C187" s="1865" t="s">
        <v>9</v>
      </c>
      <c r="D187" s="1867" t="s">
        <v>138</v>
      </c>
      <c r="E187" s="2038"/>
      <c r="F187" s="2038"/>
      <c r="G187" s="1869"/>
      <c r="H187" s="1870"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2693"/>
      <c r="B189" s="2636"/>
      <c r="C189" s="290">
        <v>2014</v>
      </c>
      <c r="D189" s="133"/>
      <c r="E189" s="109"/>
      <c r="F189" s="109"/>
      <c r="G189" s="291">
        <f>SUM(D189:F189)</f>
        <v>0</v>
      </c>
      <c r="H189" s="108"/>
      <c r="I189" s="109"/>
      <c r="J189" s="109"/>
      <c r="K189" s="109"/>
      <c r="L189" s="134"/>
    </row>
    <row r="190" spans="1:15">
      <c r="A190" s="2694"/>
      <c r="B190" s="2032"/>
      <c r="C190" s="73">
        <v>2015</v>
      </c>
      <c r="D190" s="37"/>
      <c r="E190" s="38"/>
      <c r="F190" s="38"/>
      <c r="G190" s="291">
        <f t="shared" ref="G190:G195" si="21">SUM(D190:F190)</f>
        <v>0</v>
      </c>
      <c r="H190" s="112"/>
      <c r="I190" s="38"/>
      <c r="J190" s="38"/>
      <c r="K190" s="38"/>
      <c r="L190" s="88"/>
    </row>
    <row r="191" spans="1:15">
      <c r="A191" s="2694"/>
      <c r="B191" s="2032"/>
      <c r="C191" s="73">
        <v>2016</v>
      </c>
      <c r="D191" s="37">
        <v>45</v>
      </c>
      <c r="E191" s="38">
        <v>80</v>
      </c>
      <c r="F191" s="38"/>
      <c r="G191" s="291">
        <f>D191+E191</f>
        <v>125</v>
      </c>
      <c r="H191" s="112"/>
      <c r="I191" s="38">
        <v>2</v>
      </c>
      <c r="J191" s="38">
        <v>33</v>
      </c>
      <c r="K191" s="38">
        <v>8</v>
      </c>
      <c r="L191" s="88">
        <v>82</v>
      </c>
    </row>
    <row r="192" spans="1:15">
      <c r="A192" s="2694"/>
      <c r="B192" s="2032"/>
      <c r="C192" s="73">
        <v>2017</v>
      </c>
      <c r="D192" s="37">
        <v>240</v>
      </c>
      <c r="E192" s="38"/>
      <c r="F192" s="38">
        <v>325</v>
      </c>
      <c r="G192" s="291">
        <f t="shared" si="21"/>
        <v>565</v>
      </c>
      <c r="H192" s="112"/>
      <c r="I192" s="38">
        <v>10</v>
      </c>
      <c r="J192" s="38">
        <v>30</v>
      </c>
      <c r="K192" s="38"/>
      <c r="L192" s="88">
        <v>525</v>
      </c>
    </row>
    <row r="193" spans="1:14">
      <c r="A193" s="2694"/>
      <c r="B193" s="2032"/>
      <c r="C193" s="73">
        <v>2018</v>
      </c>
      <c r="D193" s="37"/>
      <c r="E193" s="38"/>
      <c r="F193" s="38"/>
      <c r="G193" s="291">
        <f t="shared" si="21"/>
        <v>0</v>
      </c>
      <c r="H193" s="112"/>
      <c r="I193" s="38"/>
      <c r="J193" s="38"/>
      <c r="K193" s="38"/>
      <c r="L193" s="88"/>
    </row>
    <row r="194" spans="1:14">
      <c r="A194" s="2694"/>
      <c r="B194" s="2032"/>
      <c r="C194" s="73">
        <v>2019</v>
      </c>
      <c r="D194" s="37"/>
      <c r="E194" s="38"/>
      <c r="F194" s="38"/>
      <c r="G194" s="291">
        <f t="shared" si="21"/>
        <v>0</v>
      </c>
      <c r="H194" s="112"/>
      <c r="I194" s="38"/>
      <c r="J194" s="38"/>
      <c r="K194" s="38"/>
      <c r="L194" s="88"/>
    </row>
    <row r="195" spans="1:14">
      <c r="A195" s="2694"/>
      <c r="B195" s="2032"/>
      <c r="C195" s="73">
        <v>2020</v>
      </c>
      <c r="D195" s="37"/>
      <c r="E195" s="38"/>
      <c r="F195" s="38"/>
      <c r="G195" s="291">
        <f t="shared" si="21"/>
        <v>0</v>
      </c>
      <c r="H195" s="112"/>
      <c r="I195" s="38"/>
      <c r="J195" s="38"/>
      <c r="K195" s="38"/>
      <c r="L195" s="88"/>
    </row>
    <row r="196" spans="1:14" ht="15.75" thickBot="1">
      <c r="A196" s="2695"/>
      <c r="B196" s="2033"/>
      <c r="C196" s="136" t="s">
        <v>13</v>
      </c>
      <c r="D196" s="139">
        <v>45</v>
      </c>
      <c r="E196" s="116">
        <f t="shared" ref="E196:L196" si="22">SUM(E189:E195)</f>
        <v>80</v>
      </c>
      <c r="F196" s="116">
        <f t="shared" si="22"/>
        <v>325</v>
      </c>
      <c r="G196" s="292">
        <f t="shared" si="22"/>
        <v>690</v>
      </c>
      <c r="H196" s="115">
        <f t="shared" si="22"/>
        <v>0</v>
      </c>
      <c r="I196" s="116">
        <f t="shared" si="22"/>
        <v>12</v>
      </c>
      <c r="J196" s="116">
        <f t="shared" si="22"/>
        <v>63</v>
      </c>
      <c r="K196" s="116">
        <f t="shared" si="22"/>
        <v>8</v>
      </c>
      <c r="L196" s="117">
        <f t="shared" si="22"/>
        <v>607</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569" t="s">
        <v>150</v>
      </c>
      <c r="B201" s="417" t="s">
        <v>182</v>
      </c>
      <c r="C201" s="298" t="s">
        <v>9</v>
      </c>
      <c r="D201" s="299" t="s">
        <v>151</v>
      </c>
      <c r="E201" s="300" t="s">
        <v>152</v>
      </c>
      <c r="F201" s="300" t="s">
        <v>153</v>
      </c>
      <c r="G201" s="298" t="s">
        <v>154</v>
      </c>
      <c r="H201" s="570" t="s">
        <v>155</v>
      </c>
      <c r="I201" s="302" t="s">
        <v>156</v>
      </c>
      <c r="J201" s="303" t="s">
        <v>157</v>
      </c>
      <c r="K201" s="300" t="s">
        <v>158</v>
      </c>
      <c r="L201" s="304" t="s">
        <v>159</v>
      </c>
    </row>
    <row r="202" spans="1:14" ht="15" customHeight="1">
      <c r="A202" s="2610"/>
      <c r="B202" s="2032"/>
      <c r="C202" s="72">
        <v>2014</v>
      </c>
      <c r="D202" s="30"/>
      <c r="E202" s="31"/>
      <c r="F202" s="31"/>
      <c r="G202" s="29"/>
      <c r="H202" s="305"/>
      <c r="I202" s="306"/>
      <c r="J202" s="307"/>
      <c r="K202" s="31"/>
      <c r="L202" s="34"/>
    </row>
    <row r="203" spans="1:14">
      <c r="A203" s="2610"/>
      <c r="B203" s="2032"/>
      <c r="C203" s="73">
        <v>2015</v>
      </c>
      <c r="D203" s="37"/>
      <c r="E203" s="38"/>
      <c r="F203" s="38"/>
      <c r="G203" s="36"/>
      <c r="H203" s="308"/>
      <c r="I203" s="309"/>
      <c r="J203" s="310"/>
      <c r="K203" s="38"/>
      <c r="L203" s="88"/>
    </row>
    <row r="204" spans="1:14">
      <c r="A204" s="2610"/>
      <c r="B204" s="2032"/>
      <c r="C204" s="73">
        <v>2016</v>
      </c>
      <c r="D204" s="37"/>
      <c r="E204" s="38"/>
      <c r="F204" s="38"/>
      <c r="G204" s="36"/>
      <c r="H204" s="308"/>
      <c r="I204" s="309"/>
      <c r="J204" s="310"/>
      <c r="K204" s="38"/>
      <c r="L204" s="88"/>
    </row>
    <row r="205" spans="1:14">
      <c r="A205" s="2610"/>
      <c r="B205" s="2032"/>
      <c r="C205" s="73">
        <v>2017</v>
      </c>
      <c r="D205" s="37"/>
      <c r="E205" s="38"/>
      <c r="F205" s="38"/>
      <c r="G205" s="36"/>
      <c r="H205" s="308"/>
      <c r="I205" s="309"/>
      <c r="J205" s="310"/>
      <c r="K205" s="38"/>
      <c r="L205" s="88"/>
    </row>
    <row r="206" spans="1:14">
      <c r="A206" s="2610"/>
      <c r="B206" s="2032"/>
      <c r="C206" s="73">
        <v>2018</v>
      </c>
      <c r="D206" s="37"/>
      <c r="E206" s="38"/>
      <c r="F206" s="38"/>
      <c r="G206" s="36"/>
      <c r="H206" s="308"/>
      <c r="I206" s="309"/>
      <c r="J206" s="310"/>
      <c r="K206" s="38"/>
      <c r="L206" s="88"/>
    </row>
    <row r="207" spans="1:14">
      <c r="A207" s="2610"/>
      <c r="B207" s="2032"/>
      <c r="C207" s="73">
        <v>2019</v>
      </c>
      <c r="D207" s="37"/>
      <c r="E207" s="38"/>
      <c r="F207" s="38"/>
      <c r="G207" s="36"/>
      <c r="H207" s="308"/>
      <c r="I207" s="309"/>
      <c r="J207" s="310"/>
      <c r="K207" s="38"/>
      <c r="L207" s="88"/>
    </row>
    <row r="208" spans="1:14">
      <c r="A208" s="2610"/>
      <c r="B208" s="2032"/>
      <c r="C208" s="73">
        <v>2020</v>
      </c>
      <c r="D208" s="1533"/>
      <c r="E208" s="312"/>
      <c r="F208" s="312"/>
      <c r="G208" s="313"/>
      <c r="H208" s="314"/>
      <c r="I208" s="315"/>
      <c r="J208" s="316"/>
      <c r="K208" s="312"/>
      <c r="L208" s="317"/>
    </row>
    <row r="209" spans="1:12" ht="20.25" customHeight="1" thickBot="1">
      <c r="A209" s="2612"/>
      <c r="B209" s="2033"/>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0</v>
      </c>
      <c r="K209" s="139">
        <f t="shared" si="23"/>
        <v>0</v>
      </c>
      <c r="L209" s="139">
        <f t="shared" si="23"/>
        <v>0</v>
      </c>
    </row>
    <row r="211" spans="1:12" ht="15.75" thickBot="1"/>
    <row r="212" spans="1:12" ht="29.25">
      <c r="A212" s="571" t="s">
        <v>161</v>
      </c>
      <c r="B212" s="322" t="s">
        <v>162</v>
      </c>
      <c r="C212" s="323">
        <v>2014</v>
      </c>
      <c r="D212" s="324">
        <v>2015</v>
      </c>
      <c r="E212" s="324">
        <v>2016</v>
      </c>
      <c r="F212" s="324">
        <v>2017</v>
      </c>
      <c r="G212" s="324">
        <v>2018</v>
      </c>
      <c r="H212" s="324">
        <v>2019</v>
      </c>
      <c r="I212" s="325">
        <v>2020</v>
      </c>
    </row>
    <row r="213" spans="1:12" ht="15" customHeight="1">
      <c r="A213" t="s">
        <v>163</v>
      </c>
      <c r="B213" s="2692" t="s">
        <v>563</v>
      </c>
      <c r="C213" s="72"/>
      <c r="D213" s="1712">
        <f>SUM(D214)</f>
        <v>9275.5499999999993</v>
      </c>
      <c r="E213" s="328">
        <f>SUM(E214:E217)</f>
        <v>60950.69</v>
      </c>
      <c r="F213" s="328">
        <v>124658.33</v>
      </c>
      <c r="G213" s="1734"/>
      <c r="H213" s="135"/>
      <c r="I213" s="326"/>
      <c r="J213" s="327">
        <f>SUM(D213:I213)</f>
        <v>194884.57</v>
      </c>
    </row>
    <row r="214" spans="1:12">
      <c r="A214" t="s">
        <v>164</v>
      </c>
      <c r="B214" s="2555"/>
      <c r="C214" s="72"/>
      <c r="D214" s="1712">
        <v>9275.5499999999993</v>
      </c>
      <c r="E214" s="447">
        <v>22479.27</v>
      </c>
      <c r="F214" s="328">
        <v>124658.33</v>
      </c>
      <c r="G214" s="135"/>
      <c r="H214" s="135"/>
      <c r="I214" s="326"/>
    </row>
    <row r="215" spans="1:12">
      <c r="A215" t="s">
        <v>165</v>
      </c>
      <c r="B215" s="2555"/>
      <c r="C215" s="72"/>
      <c r="D215" s="135"/>
      <c r="E215" s="1505"/>
      <c r="F215" s="135"/>
      <c r="G215" s="135"/>
      <c r="H215" s="135"/>
      <c r="I215" s="326"/>
    </row>
    <row r="216" spans="1:12">
      <c r="A216" t="s">
        <v>166</v>
      </c>
      <c r="B216" s="2555"/>
      <c r="C216" s="72"/>
      <c r="D216" s="135"/>
      <c r="E216" s="1505"/>
      <c r="F216" s="135"/>
      <c r="G216" s="135"/>
      <c r="H216" s="135"/>
      <c r="I216" s="326"/>
    </row>
    <row r="217" spans="1:12">
      <c r="A217" t="s">
        <v>167</v>
      </c>
      <c r="B217" s="2555"/>
      <c r="C217" s="72"/>
      <c r="D217" s="135"/>
      <c r="E217" s="439">
        <v>38471.42</v>
      </c>
      <c r="F217" s="1734"/>
      <c r="G217" s="135"/>
      <c r="H217" s="135"/>
      <c r="I217" s="326"/>
    </row>
    <row r="218" spans="1:12" ht="30">
      <c r="A218" s="56" t="s">
        <v>168</v>
      </c>
      <c r="B218" s="2555"/>
      <c r="C218" s="72"/>
      <c r="D218" s="1712">
        <v>100000</v>
      </c>
      <c r="E218" s="447">
        <v>94378.25</v>
      </c>
      <c r="F218" s="1734">
        <v>67000</v>
      </c>
      <c r="G218" s="1734"/>
      <c r="H218" s="135"/>
      <c r="I218" s="326"/>
    </row>
    <row r="219" spans="1:12" ht="15.75" thickBot="1">
      <c r="A219" s="1532"/>
      <c r="B219" s="2556"/>
      <c r="C219" s="42" t="s">
        <v>13</v>
      </c>
      <c r="D219" s="1617">
        <f>SUM(D214:D218)</f>
        <v>109275.55</v>
      </c>
      <c r="E219" s="333">
        <f t="shared" ref="E219:I219" si="24">SUM(E214:E218)</f>
        <v>155328.94</v>
      </c>
      <c r="F219" s="332">
        <f>SUM(F214:F218)</f>
        <v>191658.33000000002</v>
      </c>
      <c r="G219" s="333">
        <f t="shared" si="24"/>
        <v>0</v>
      </c>
      <c r="H219" s="333">
        <f t="shared" si="24"/>
        <v>0</v>
      </c>
      <c r="I219" s="333">
        <f t="shared" si="24"/>
        <v>0</v>
      </c>
    </row>
    <row r="227" spans="1:1">
      <c r="A227" s="56"/>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hyperlinks>
    <hyperlink ref="A40" display="brak statystyki wejść na stronę internetową - brak zliczania wejść ze względów technicznych (www.zodr.pl)"/>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7"/>
  <sheetViews>
    <sheetView topLeftCell="B205" workbookViewId="0">
      <selection activeCell="E223" sqref="E223"/>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597</v>
      </c>
      <c r="C1" s="1944"/>
      <c r="D1" s="1944"/>
      <c r="E1" s="1944"/>
      <c r="F1" s="1944"/>
    </row>
    <row r="2" spans="1:25" s="1" customFormat="1" ht="20.100000000000001" customHeight="1" thickBot="1">
      <c r="B2" s="1733"/>
    </row>
    <row r="3" spans="1:25" s="4" customFormat="1" ht="20.100000000000001" customHeight="1">
      <c r="A3" s="1837" t="s">
        <v>2</v>
      </c>
      <c r="B3" s="1838"/>
      <c r="C3" s="1838"/>
      <c r="D3" s="1838"/>
      <c r="E3" s="1838"/>
      <c r="F3" s="2492"/>
      <c r="G3" s="2492"/>
      <c r="H3" s="2492"/>
      <c r="I3" s="2492"/>
      <c r="J3" s="2492"/>
      <c r="K3" s="2492"/>
      <c r="L3" s="2492"/>
      <c r="M3" s="2492"/>
      <c r="N3" s="2492"/>
      <c r="O3" s="2493"/>
    </row>
    <row r="4" spans="1:25" s="4" customFormat="1" ht="20.100000000000001" customHeight="1">
      <c r="A4" s="2716" t="s">
        <v>170</v>
      </c>
      <c r="B4" s="1948"/>
      <c r="C4" s="1948"/>
      <c r="D4" s="1948"/>
      <c r="E4" s="1948"/>
      <c r="F4" s="1948"/>
      <c r="G4" s="1948"/>
      <c r="H4" s="1948"/>
      <c r="I4" s="1948"/>
      <c r="J4" s="1948"/>
      <c r="K4" s="1948"/>
      <c r="L4" s="1948"/>
      <c r="M4" s="1948"/>
      <c r="N4" s="1948"/>
      <c r="O4" s="1949"/>
    </row>
    <row r="5" spans="1:25" s="4" customFormat="1" ht="20.100000000000001" customHeight="1">
      <c r="A5" s="2716"/>
      <c r="B5" s="1948"/>
      <c r="C5" s="1948"/>
      <c r="D5" s="1948"/>
      <c r="E5" s="1948"/>
      <c r="F5" s="1948"/>
      <c r="G5" s="1948"/>
      <c r="H5" s="1948"/>
      <c r="I5" s="1948"/>
      <c r="J5" s="1948"/>
      <c r="K5" s="1948"/>
      <c r="L5" s="1948"/>
      <c r="M5" s="1948"/>
      <c r="N5" s="1948"/>
      <c r="O5" s="1949"/>
    </row>
    <row r="6" spans="1:25" s="4" customFormat="1" ht="20.100000000000001" customHeight="1">
      <c r="A6" s="2716"/>
      <c r="B6" s="1948"/>
      <c r="C6" s="1948"/>
      <c r="D6" s="1948"/>
      <c r="E6" s="1948"/>
      <c r="F6" s="1948"/>
      <c r="G6" s="1948"/>
      <c r="H6" s="1948"/>
      <c r="I6" s="1948"/>
      <c r="J6" s="1948"/>
      <c r="K6" s="1948"/>
      <c r="L6" s="1948"/>
      <c r="M6" s="1948"/>
      <c r="N6" s="1948"/>
      <c r="O6" s="1949"/>
    </row>
    <row r="7" spans="1:25" s="4" customFormat="1" ht="20.100000000000001" customHeight="1">
      <c r="A7" s="2716"/>
      <c r="B7" s="1948"/>
      <c r="C7" s="1948"/>
      <c r="D7" s="1948"/>
      <c r="E7" s="1948"/>
      <c r="F7" s="1948"/>
      <c r="G7" s="1948"/>
      <c r="H7" s="1948"/>
      <c r="I7" s="1948"/>
      <c r="J7" s="1948"/>
      <c r="K7" s="1948"/>
      <c r="L7" s="1948"/>
      <c r="M7" s="1948"/>
      <c r="N7" s="1948"/>
      <c r="O7" s="1949"/>
    </row>
    <row r="8" spans="1:25" s="4" customFormat="1" ht="20.100000000000001" customHeight="1">
      <c r="A8" s="2716"/>
      <c r="B8" s="1948"/>
      <c r="C8" s="1948"/>
      <c r="D8" s="1948"/>
      <c r="E8" s="1948"/>
      <c r="F8" s="1948"/>
      <c r="G8" s="1948"/>
      <c r="H8" s="1948"/>
      <c r="I8" s="1948"/>
      <c r="J8" s="1948"/>
      <c r="K8" s="1948"/>
      <c r="L8" s="1948"/>
      <c r="M8" s="1948"/>
      <c r="N8" s="1948"/>
      <c r="O8" s="1949"/>
    </row>
    <row r="9" spans="1:25" s="4" customFormat="1" ht="20.100000000000001" customHeight="1">
      <c r="A9" s="2716"/>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1839"/>
      <c r="B15" s="1814"/>
      <c r="C15" s="10"/>
      <c r="D15" s="2421" t="s">
        <v>5</v>
      </c>
      <c r="E15" s="2489"/>
      <c r="F15" s="2489"/>
      <c r="G15" s="2489"/>
      <c r="H15" s="1746"/>
      <c r="I15" s="12" t="s">
        <v>6</v>
      </c>
      <c r="J15" s="13"/>
      <c r="K15" s="13"/>
      <c r="L15" s="13"/>
      <c r="M15" s="13"/>
      <c r="N15" s="13"/>
      <c r="O15" s="14"/>
      <c r="P15" s="15"/>
      <c r="Q15" s="16"/>
      <c r="R15" s="17"/>
      <c r="S15" s="17"/>
      <c r="T15" s="17"/>
      <c r="U15" s="17"/>
      <c r="V15" s="17"/>
      <c r="W15" s="15"/>
      <c r="X15" s="15"/>
      <c r="Y15" s="16"/>
    </row>
    <row r="16" spans="1:25" s="56" customFormat="1" ht="129" customHeight="1">
      <c r="A16" s="1844"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2717"/>
      <c r="B17" s="2032"/>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2718"/>
      <c r="B18" s="2032"/>
      <c r="C18" s="36">
        <v>2015</v>
      </c>
      <c r="D18" s="37">
        <f>SUM('dolnośląskie:ODR woj. zachodniopomorskie'!D18)</f>
        <v>356</v>
      </c>
      <c r="E18" s="37">
        <f>SUM('dolnośląskie:ODR woj. zachodniopomorskie'!E18)</f>
        <v>75</v>
      </c>
      <c r="F18" s="37">
        <f>SUM('dolnośląskie:ODR woj. zachodniopomorskie'!F18)</f>
        <v>12</v>
      </c>
      <c r="G18" s="58">
        <f>SUM(D18:F18)</f>
        <v>443</v>
      </c>
      <c r="H18" s="37">
        <f>SUM('dolnośląskie:ODR woj. zachodniopomorskie'!H18)</f>
        <v>67</v>
      </c>
      <c r="I18" s="37">
        <f>SUM('dolnośląskie:ODR woj. zachodniopomorskie'!I18)</f>
        <v>31</v>
      </c>
      <c r="J18" s="37">
        <f>SUM('dolnośląskie:ODR woj. zachodniopomorskie'!J18)</f>
        <v>4</v>
      </c>
      <c r="K18" s="37">
        <f>SUM('dolnośląskie:ODR woj. zachodniopomorskie'!K18)</f>
        <v>78</v>
      </c>
      <c r="L18" s="37">
        <f>SUM('dolnośląskie:ODR woj. zachodniopomorskie'!L18)</f>
        <v>25</v>
      </c>
      <c r="M18" s="37">
        <f>SUM('dolnośląskie:ODR woj. zachodniopomorskie'!M18)</f>
        <v>5</v>
      </c>
      <c r="N18" s="37">
        <f>SUM('dolnośląskie:ODR woj. zachodniopomorskie'!N18)</f>
        <v>3</v>
      </c>
      <c r="O18" s="40">
        <f>SUM('dolnośląskie:ODR woj. zachodniopomorskie'!O18)</f>
        <v>230</v>
      </c>
      <c r="P18" s="35"/>
      <c r="Q18" s="35"/>
      <c r="R18" s="35"/>
      <c r="S18" s="35"/>
      <c r="T18" s="35"/>
      <c r="U18" s="35"/>
      <c r="V18" s="35"/>
      <c r="W18" s="35"/>
      <c r="X18" s="35"/>
      <c r="Y18" s="35"/>
    </row>
    <row r="19" spans="1:25">
      <c r="A19" s="2718"/>
      <c r="B19" s="2032"/>
      <c r="C19" s="36">
        <v>2016</v>
      </c>
      <c r="D19" s="37">
        <f>SUM('dolnośląskie:ODR woj. zachodniopomorskie'!D19)</f>
        <v>1497</v>
      </c>
      <c r="E19" s="37">
        <f>SUM('dolnośląskie:ODR woj. zachodniopomorskie'!E19)-14</f>
        <v>78</v>
      </c>
      <c r="F19" s="37">
        <f>SUM('dolnośląskie:ODR woj. zachodniopomorskie'!F19)-13</f>
        <v>37</v>
      </c>
      <c r="G19" s="58">
        <f t="shared" si="0"/>
        <v>1612</v>
      </c>
      <c r="H19" s="37">
        <f>SUM('dolnośląskie:ODR woj. zachodniopomorskie'!H19)</f>
        <v>279</v>
      </c>
      <c r="I19" s="37">
        <f>SUM('dolnośląskie:ODR woj. zachodniopomorskie'!I19)</f>
        <v>194</v>
      </c>
      <c r="J19" s="37">
        <f>SUM('dolnośląskie:ODR woj. zachodniopomorskie'!J19)</f>
        <v>21</v>
      </c>
      <c r="K19" s="37">
        <f>SUM('dolnośląskie:ODR woj. zachodniopomorskie'!K19)</f>
        <v>235</v>
      </c>
      <c r="L19" s="37">
        <f>SUM('dolnośląskie:ODR woj. zachodniopomorskie'!L19)</f>
        <v>36</v>
      </c>
      <c r="M19" s="37">
        <f>SUM('dolnośląskie:ODR woj. zachodniopomorskie'!M19)</f>
        <v>13</v>
      </c>
      <c r="N19" s="37">
        <f>SUM('dolnośląskie:ODR woj. zachodniopomorskie'!N19)</f>
        <v>1</v>
      </c>
      <c r="O19" s="40">
        <f>SUM('dolnośląskie:ODR woj. zachodniopomorskie'!O19)-27</f>
        <v>833</v>
      </c>
      <c r="P19" s="35"/>
      <c r="Q19" s="35"/>
      <c r="R19" s="35"/>
      <c r="S19" s="35"/>
      <c r="T19" s="35"/>
      <c r="U19" s="35"/>
      <c r="V19" s="35"/>
      <c r="W19" s="35"/>
      <c r="X19" s="35"/>
      <c r="Y19" s="35"/>
    </row>
    <row r="20" spans="1:25">
      <c r="A20" s="2718"/>
      <c r="B20" s="2032"/>
      <c r="C20" s="36">
        <v>2017</v>
      </c>
      <c r="D20" s="37">
        <f>SUM('dolnośląskie:ODR woj. zachodniopomorskie'!D20)</f>
        <v>1039</v>
      </c>
      <c r="E20" s="37">
        <f>SUM('dolnośląskie:ODR woj. zachodniopomorskie'!E20)-5</f>
        <v>264</v>
      </c>
      <c r="F20" s="37">
        <f>SUM('dolnośląskie:ODR woj. zachodniopomorskie'!F20)-13</f>
        <v>24</v>
      </c>
      <c r="G20" s="1845">
        <f t="shared" si="0"/>
        <v>1327</v>
      </c>
      <c r="H20" s="37">
        <f>SUM('dolnośląskie:ODR woj. zachodniopomorskie'!H20)</f>
        <v>273</v>
      </c>
      <c r="I20" s="37">
        <f>SUM('dolnośląskie:ODR woj. zachodniopomorskie'!I20)</f>
        <v>139</v>
      </c>
      <c r="J20" s="37">
        <f>SUM('dolnośląskie:ODR woj. zachodniopomorskie'!J20)</f>
        <v>21</v>
      </c>
      <c r="K20" s="37">
        <f>SUM('dolnośląskie:ODR woj. zachodniopomorskie'!K20)</f>
        <v>226</v>
      </c>
      <c r="L20" s="37">
        <f>SUM('dolnośląskie:ODR woj. zachodniopomorskie'!L20)</f>
        <v>41</v>
      </c>
      <c r="M20" s="37">
        <f>SUM('dolnośląskie:ODR woj. zachodniopomorskie'!M20)</f>
        <v>27</v>
      </c>
      <c r="N20" s="37">
        <f>SUM('dolnośląskie:ODR woj. zachodniopomorskie'!N20)</f>
        <v>0</v>
      </c>
      <c r="O20" s="40">
        <f>SUM('dolnośląskie:ODR woj. zachodniopomorskie'!O20)-18</f>
        <v>602</v>
      </c>
      <c r="P20" s="35"/>
      <c r="Q20" s="35"/>
      <c r="R20" s="35"/>
      <c r="S20" s="35"/>
      <c r="T20" s="35"/>
      <c r="U20" s="35"/>
      <c r="V20" s="35"/>
      <c r="W20" s="35"/>
      <c r="X20" s="35"/>
      <c r="Y20" s="35"/>
    </row>
    <row r="21" spans="1:25">
      <c r="A21" s="2718"/>
      <c r="B21" s="2032"/>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2718"/>
      <c r="B22" s="2032"/>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2718"/>
      <c r="B23" s="2032"/>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19.5" customHeight="1" thickBot="1">
      <c r="A24" s="2612"/>
      <c r="B24" s="2719"/>
      <c r="C24" s="42" t="s">
        <v>13</v>
      </c>
      <c r="D24" s="43">
        <f>SUM(D17:D23)</f>
        <v>2892</v>
      </c>
      <c r="E24" s="44">
        <f>SUM(E17:E23)</f>
        <v>417</v>
      </c>
      <c r="F24" s="44">
        <f>SUM(F17:F23)</f>
        <v>73</v>
      </c>
      <c r="G24" s="45">
        <f>SUM(D24:F24)</f>
        <v>3382</v>
      </c>
      <c r="H24" s="46">
        <f>SUM(H17:H23)</f>
        <v>619</v>
      </c>
      <c r="I24" s="47">
        <f>SUM(I17:I23)</f>
        <v>364</v>
      </c>
      <c r="J24" s="47">
        <f t="shared" ref="J24:N24" si="1">SUM(J17:J23)</f>
        <v>46</v>
      </c>
      <c r="K24" s="47">
        <f t="shared" si="1"/>
        <v>539</v>
      </c>
      <c r="L24" s="47">
        <f t="shared" si="1"/>
        <v>102</v>
      </c>
      <c r="M24" s="47">
        <f t="shared" si="1"/>
        <v>45</v>
      </c>
      <c r="N24" s="47">
        <f t="shared" si="1"/>
        <v>4</v>
      </c>
      <c r="O24" s="48">
        <f>SUM(O17:O23)</f>
        <v>1665</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1839"/>
      <c r="B26" s="1814"/>
      <c r="C26" s="50"/>
      <c r="D26" s="2423" t="s">
        <v>5</v>
      </c>
      <c r="E26" s="2490"/>
      <c r="F26" s="2490"/>
      <c r="G26" s="2491"/>
      <c r="H26" s="15"/>
      <c r="I26" s="16"/>
      <c r="J26" s="17"/>
      <c r="K26" s="17"/>
      <c r="L26" s="17"/>
      <c r="M26" s="17"/>
      <c r="N26" s="17"/>
      <c r="O26" s="15"/>
      <c r="P26" s="15"/>
    </row>
    <row r="27" spans="1:25" s="56" customFormat="1" ht="93" customHeight="1">
      <c r="A27" s="1846"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2720"/>
      <c r="B28" s="1855"/>
      <c r="C28" s="57">
        <v>2014</v>
      </c>
      <c r="D28" s="33"/>
      <c r="E28" s="31"/>
      <c r="F28" s="31"/>
      <c r="G28" s="58">
        <f>SUM(D28:F28)</f>
        <v>0</v>
      </c>
      <c r="H28" s="35"/>
      <c r="I28" s="35"/>
      <c r="J28" s="35"/>
      <c r="K28" s="35"/>
      <c r="L28" s="35"/>
      <c r="M28" s="35"/>
      <c r="N28" s="35"/>
      <c r="O28" s="35"/>
      <c r="P28" s="35"/>
      <c r="Q28" s="7"/>
    </row>
    <row r="29" spans="1:25">
      <c r="A29" s="2721"/>
      <c r="B29" s="1855"/>
      <c r="C29" s="59">
        <v>2015</v>
      </c>
      <c r="D29" s="39">
        <f>SUM('dolnośląskie:ODR woj. zachodniopomorskie'!D29)</f>
        <v>228728</v>
      </c>
      <c r="E29" s="38">
        <f>SUM('dolnośląskie:ODR woj. zachodniopomorskie'!E29)</f>
        <v>623060</v>
      </c>
      <c r="F29" s="1853">
        <f>SUM('dolnośląskie:ODR woj. zachodniopomorskie'!F29)</f>
        <v>51429</v>
      </c>
      <c r="G29" s="58">
        <f t="shared" ref="G29:G35" si="2">SUM(D29:F29)</f>
        <v>903217</v>
      </c>
      <c r="H29" s="35"/>
      <c r="I29" s="35"/>
      <c r="J29" s="35"/>
      <c r="K29" s="35"/>
      <c r="L29" s="35"/>
      <c r="M29" s="35"/>
      <c r="N29" s="35"/>
      <c r="O29" s="35"/>
      <c r="P29" s="35"/>
      <c r="Q29" s="7"/>
    </row>
    <row r="30" spans="1:25">
      <c r="A30" s="2721"/>
      <c r="B30" s="1855"/>
      <c r="C30" s="59">
        <v>2016</v>
      </c>
      <c r="D30" s="39">
        <f>SUM('dolnośląskie:ODR woj. zachodniopomorskie'!D30)</f>
        <v>1115363</v>
      </c>
      <c r="E30" s="37">
        <f>SUM('dolnośląskie:ODR woj. zachodniopomorskie'!E30)-283500</f>
        <v>1094505</v>
      </c>
      <c r="F30" s="37">
        <f>SUM('dolnośląskie:ODR woj. zachodniopomorskie'!F30)-2555000</f>
        <v>963873</v>
      </c>
      <c r="G30" s="58">
        <f t="shared" si="2"/>
        <v>3173741</v>
      </c>
      <c r="H30" s="35"/>
      <c r="I30" s="35"/>
      <c r="J30" s="35"/>
      <c r="K30" s="35"/>
      <c r="L30" s="35"/>
      <c r="M30" s="35"/>
      <c r="N30" s="35"/>
      <c r="O30" s="35"/>
      <c r="P30" s="35"/>
      <c r="Q30" s="7"/>
    </row>
    <row r="31" spans="1:25">
      <c r="A31" s="2721"/>
      <c r="B31" s="1855"/>
      <c r="C31" s="59">
        <v>2017</v>
      </c>
      <c r="D31" s="39">
        <f>SUM('dolnośląskie:ODR woj. zachodniopomorskie'!D31)</f>
        <v>1201223</v>
      </c>
      <c r="E31" s="37">
        <f>SUM('dolnośląskie:ODR woj. zachodniopomorskie'!E31)-138000</f>
        <v>1208419</v>
      </c>
      <c r="F31" s="37">
        <f>SUM('dolnośląskie:ODR woj. zachodniopomorskie'!F31)-3485800</f>
        <v>1249649</v>
      </c>
      <c r="G31" s="58">
        <f t="shared" si="2"/>
        <v>3659291</v>
      </c>
      <c r="H31" s="35"/>
      <c r="I31" s="35"/>
      <c r="J31" s="35"/>
      <c r="K31" s="35"/>
      <c r="L31" s="35"/>
      <c r="M31" s="35"/>
      <c r="N31" s="35"/>
      <c r="O31" s="35"/>
      <c r="P31" s="35"/>
      <c r="Q31" s="7"/>
    </row>
    <row r="32" spans="1:25">
      <c r="A32" s="2721"/>
      <c r="B32" s="1855"/>
      <c r="C32" s="59">
        <v>2018</v>
      </c>
      <c r="D32" s="39"/>
      <c r="E32" s="38"/>
      <c r="F32" s="38"/>
      <c r="G32" s="58">
        <f>SUM(D32:F32)</f>
        <v>0</v>
      </c>
      <c r="H32" s="35"/>
      <c r="I32" s="35"/>
      <c r="J32" s="35"/>
      <c r="K32" s="35"/>
      <c r="L32" s="35"/>
      <c r="M32" s="35"/>
      <c r="N32" s="35"/>
      <c r="O32" s="35"/>
      <c r="P32" s="35"/>
      <c r="Q32" s="7"/>
    </row>
    <row r="33" spans="1:17">
      <c r="A33" s="2721"/>
      <c r="B33" s="1855"/>
      <c r="C33" s="60">
        <v>2019</v>
      </c>
      <c r="D33" s="39"/>
      <c r="E33" s="38"/>
      <c r="F33" s="38"/>
      <c r="G33" s="58">
        <f t="shared" si="2"/>
        <v>0</v>
      </c>
      <c r="H33" s="35"/>
      <c r="I33" s="35"/>
      <c r="J33" s="35"/>
      <c r="K33" s="35"/>
      <c r="L33" s="35"/>
      <c r="M33" s="35"/>
      <c r="N33" s="35"/>
      <c r="O33" s="35"/>
      <c r="P33" s="35"/>
      <c r="Q33" s="7"/>
    </row>
    <row r="34" spans="1:17">
      <c r="A34" s="2721"/>
      <c r="B34" s="1855"/>
      <c r="C34" s="59">
        <v>2020</v>
      </c>
      <c r="D34" s="39"/>
      <c r="E34" s="38"/>
      <c r="F34" s="38"/>
      <c r="G34" s="58">
        <f t="shared" si="2"/>
        <v>0</v>
      </c>
      <c r="H34" s="35"/>
      <c r="I34" s="35"/>
      <c r="J34" s="35"/>
      <c r="K34" s="35"/>
      <c r="L34" s="35"/>
      <c r="M34" s="35"/>
      <c r="N34" s="35"/>
      <c r="O34" s="35"/>
      <c r="P34" s="35"/>
      <c r="Q34" s="7"/>
    </row>
    <row r="35" spans="1:17" ht="20.25" customHeight="1" thickBot="1">
      <c r="A35" s="1856"/>
      <c r="B35" s="2722"/>
      <c r="C35" s="61" t="s">
        <v>13</v>
      </c>
      <c r="D35" s="46">
        <f>SUM(D28:D34)</f>
        <v>2545314</v>
      </c>
      <c r="E35" s="44">
        <f>SUM(E28:E34)</f>
        <v>2925984</v>
      </c>
      <c r="F35" s="44">
        <f>SUM(F28:F34)</f>
        <v>2264951</v>
      </c>
      <c r="G35" s="48">
        <f t="shared" si="2"/>
        <v>7736249</v>
      </c>
      <c r="H35" s="35"/>
      <c r="I35" s="35"/>
      <c r="J35" s="35"/>
      <c r="K35" s="35"/>
      <c r="L35" s="35"/>
      <c r="M35" s="35"/>
      <c r="N35" s="35"/>
      <c r="O35" s="35"/>
      <c r="P35" s="35"/>
      <c r="Q35" s="7"/>
    </row>
    <row r="36" spans="1:17">
      <c r="A36" s="1810"/>
      <c r="B36" s="1810"/>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1840" t="s">
        <v>26</v>
      </c>
      <c r="B39" s="1816" t="s">
        <v>171</v>
      </c>
      <c r="C39" s="68" t="s">
        <v>9</v>
      </c>
      <c r="D39" s="1750" t="s">
        <v>28</v>
      </c>
      <c r="E39" s="70" t="s">
        <v>29</v>
      </c>
      <c r="F39" s="71"/>
      <c r="G39" s="28"/>
      <c r="H39" s="28"/>
    </row>
    <row r="40" spans="1:17">
      <c r="A40" s="2720"/>
      <c r="B40" s="1855"/>
      <c r="C40" s="72">
        <v>2014</v>
      </c>
      <c r="D40" s="30"/>
      <c r="E40" s="29"/>
      <c r="F40" s="7"/>
      <c r="G40" s="35"/>
      <c r="H40" s="35"/>
    </row>
    <row r="41" spans="1:17">
      <c r="A41" s="2721"/>
      <c r="B41" s="1855"/>
      <c r="C41" s="73">
        <v>2015</v>
      </c>
      <c r="D41" s="37">
        <f>SUM('dolnośląskie:ODR woj. zachodniopomorskie'!D41)</f>
        <v>6994611</v>
      </c>
      <c r="E41" s="36">
        <f>SUM('dolnośląskie:ODR woj. zachodniopomorskie'!E41)</f>
        <v>2477625</v>
      </c>
      <c r="F41" s="7"/>
      <c r="G41" s="35"/>
      <c r="H41" s="35"/>
    </row>
    <row r="42" spans="1:17">
      <c r="A42" s="2721"/>
      <c r="B42" s="1855"/>
      <c r="C42" s="73">
        <v>2016</v>
      </c>
      <c r="D42" s="37">
        <f>SUM('dolnośląskie:ODR woj. zachodniopomorskie'!D42)</f>
        <v>3298561</v>
      </c>
      <c r="E42" s="36">
        <f>SUM('dolnośląskie:ODR woj. zachodniopomorskie'!E42)</f>
        <v>1261942</v>
      </c>
      <c r="F42" s="7"/>
      <c r="G42" s="35"/>
      <c r="H42" s="35"/>
    </row>
    <row r="43" spans="1:17">
      <c r="A43" s="2721"/>
      <c r="B43" s="1855"/>
      <c r="C43" s="73">
        <v>2017</v>
      </c>
      <c r="D43" s="37">
        <f>SUM('dolnośląskie:ODR woj. zachodniopomorskie'!D43)</f>
        <v>28646134</v>
      </c>
      <c r="E43" s="36">
        <f>SUM('dolnośląskie:ODR woj. zachodniopomorskie'!E43)</f>
        <v>20829632</v>
      </c>
      <c r="F43" s="7"/>
      <c r="G43" s="35"/>
      <c r="H43" s="35"/>
    </row>
    <row r="44" spans="1:17">
      <c r="A44" s="2721"/>
      <c r="B44" s="1855"/>
      <c r="C44" s="73">
        <v>2018</v>
      </c>
      <c r="D44" s="37"/>
      <c r="E44" s="36"/>
      <c r="F44" s="7"/>
      <c r="G44" s="35"/>
      <c r="H44" s="35"/>
    </row>
    <row r="45" spans="1:17">
      <c r="A45" s="2721"/>
      <c r="B45" s="1855"/>
      <c r="C45" s="73">
        <v>2019</v>
      </c>
      <c r="D45" s="37"/>
      <c r="E45" s="36"/>
      <c r="F45" s="7"/>
      <c r="G45" s="35"/>
      <c r="H45" s="35"/>
    </row>
    <row r="46" spans="1:17">
      <c r="A46" s="2721"/>
      <c r="B46" s="1855"/>
      <c r="C46" s="73">
        <v>2020</v>
      </c>
      <c r="D46" s="37"/>
      <c r="E46" s="36"/>
      <c r="F46" s="7"/>
      <c r="G46" s="35"/>
      <c r="H46" s="35"/>
    </row>
    <row r="47" spans="1:17" ht="15.75" thickBot="1">
      <c r="A47" s="1856"/>
      <c r="B47" s="2722"/>
      <c r="C47" s="42" t="s">
        <v>13</v>
      </c>
      <c r="D47" s="43">
        <f>SUM(D40:D46)</f>
        <v>38939306</v>
      </c>
      <c r="E47" s="455">
        <f>SUM(E40:E46)</f>
        <v>24569199</v>
      </c>
      <c r="F47" s="78"/>
      <c r="G47" s="35"/>
      <c r="H47" s="35"/>
    </row>
    <row r="48" spans="1:17" s="35" customFormat="1" ht="15.75" thickBot="1">
      <c r="A48" s="1817"/>
      <c r="B48" s="80"/>
      <c r="C48" s="81"/>
    </row>
    <row r="49" spans="1:15" ht="83.25" customHeight="1">
      <c r="A49" s="1753" t="s">
        <v>32</v>
      </c>
      <c r="B49" s="1816" t="s">
        <v>171</v>
      </c>
      <c r="C49" s="84" t="s">
        <v>9</v>
      </c>
      <c r="D49" s="1750" t="s">
        <v>34</v>
      </c>
      <c r="E49" s="85" t="s">
        <v>35</v>
      </c>
      <c r="F49" s="85" t="s">
        <v>36</v>
      </c>
      <c r="G49" s="85" t="s">
        <v>37</v>
      </c>
      <c r="H49" s="85" t="s">
        <v>38</v>
      </c>
      <c r="I49" s="85" t="s">
        <v>39</v>
      </c>
      <c r="J49" s="85" t="s">
        <v>40</v>
      </c>
      <c r="K49" s="86" t="s">
        <v>41</v>
      </c>
    </row>
    <row r="50" spans="1:15" ht="17.25" customHeight="1">
      <c r="A50" s="1872"/>
      <c r="B50" s="1879"/>
      <c r="C50" s="87" t="s">
        <v>43</v>
      </c>
      <c r="D50" s="30"/>
      <c r="E50" s="31"/>
      <c r="F50" s="31"/>
      <c r="G50" s="31"/>
      <c r="H50" s="31"/>
      <c r="I50" s="31"/>
      <c r="J50" s="31"/>
      <c r="K50" s="34"/>
    </row>
    <row r="51" spans="1:15" ht="15" customHeight="1">
      <c r="A51" s="2720"/>
      <c r="B51" s="1881"/>
      <c r="C51" s="73">
        <v>2014</v>
      </c>
      <c r="D51" s="37"/>
      <c r="E51" s="38"/>
      <c r="F51" s="38"/>
      <c r="G51" s="38"/>
      <c r="H51" s="38"/>
      <c r="I51" s="38"/>
      <c r="J51" s="38"/>
      <c r="K51" s="88"/>
    </row>
    <row r="52" spans="1:15">
      <c r="A52" s="2720"/>
      <c r="B52" s="1881"/>
      <c r="C52" s="73">
        <v>2015</v>
      </c>
      <c r="D52" s="37">
        <f>SUM('dolnośląskie:ODR woj. zachodniopomorskie'!D52)</f>
        <v>6</v>
      </c>
      <c r="E52" s="37">
        <f>SUM('dolnośląskie:ODR woj. zachodniopomorskie'!E52)</f>
        <v>0</v>
      </c>
      <c r="F52" s="37">
        <f>SUM('dolnośląskie:ODR woj. zachodniopomorskie'!F52)</f>
        <v>0</v>
      </c>
      <c r="G52" s="37">
        <f>SUM('dolnośląskie:ODR woj. zachodniopomorskie'!G52)</f>
        <v>7623</v>
      </c>
      <c r="H52" s="37">
        <f>SUM('dolnośląskie:ODR woj. zachodniopomorskie'!H52)</f>
        <v>5009</v>
      </c>
      <c r="I52" s="37">
        <f>SUM('dolnośląskie:ODR woj. zachodniopomorskie'!I52)</f>
        <v>11</v>
      </c>
      <c r="J52" s="37">
        <f>SUM('dolnośląskie:ODR woj. zachodniopomorskie'!J52)</f>
        <v>132</v>
      </c>
      <c r="K52" s="88">
        <f>SUM('dolnośląskie:ODR woj. zachodniopomorskie'!K52)</f>
        <v>3414</v>
      </c>
    </row>
    <row r="53" spans="1:15">
      <c r="A53" s="2720"/>
      <c r="B53" s="1881"/>
      <c r="C53" s="73">
        <v>2016</v>
      </c>
      <c r="D53" s="37">
        <f>SUM('dolnośląskie:ODR woj. zachodniopomorskie'!D53)</f>
        <v>13</v>
      </c>
      <c r="E53" s="37">
        <f>SUM('dolnośląskie:ODR woj. zachodniopomorskie'!E53)</f>
        <v>2</v>
      </c>
      <c r="F53" s="37">
        <f>SUM('dolnośląskie:ODR woj. zachodniopomorskie'!F53)</f>
        <v>1</v>
      </c>
      <c r="G53" s="37">
        <f>SUM('dolnośląskie:ODR woj. zachodniopomorskie'!G53)</f>
        <v>36063</v>
      </c>
      <c r="H53" s="37">
        <f>SUM('dolnośląskie:ODR woj. zachodniopomorskie'!H53)</f>
        <v>34</v>
      </c>
      <c r="I53" s="37">
        <f>SUM('dolnośląskie:ODR woj. zachodniopomorskie'!I53)</f>
        <v>86</v>
      </c>
      <c r="J53" s="37">
        <f>SUM('dolnośląskie:ODR woj. zachodniopomorskie'!J53)</f>
        <v>1702</v>
      </c>
      <c r="K53" s="88">
        <f>SUM('dolnośląskie:ODR woj. zachodniopomorskie'!K53)</f>
        <v>83711</v>
      </c>
    </row>
    <row r="54" spans="1:15">
      <c r="A54" s="2720"/>
      <c r="B54" s="1881"/>
      <c r="C54" s="73">
        <v>2017</v>
      </c>
      <c r="D54" s="37">
        <f>SUM('dolnośląskie:ODR woj. zachodniopomorskie'!D54)</f>
        <v>16</v>
      </c>
      <c r="E54" s="37">
        <f>SUM('dolnośląskie:ODR woj. zachodniopomorskie'!E54)</f>
        <v>0</v>
      </c>
      <c r="F54" s="37">
        <f>SUM('dolnośląskie:ODR woj. zachodniopomorskie'!F54)</f>
        <v>1</v>
      </c>
      <c r="G54" s="37">
        <f>SUM('dolnośląskie:ODR woj. zachodniopomorskie'!G54)</f>
        <v>33479</v>
      </c>
      <c r="H54" s="37">
        <f>SUM('dolnośląskie:ODR woj. zachodniopomorskie'!H54)</f>
        <v>955</v>
      </c>
      <c r="I54" s="37">
        <f>SUM('dolnośląskie:ODR woj. zachodniopomorskie'!I54)</f>
        <v>184</v>
      </c>
      <c r="J54" s="37">
        <f>SUM('dolnośląskie:ODR woj. zachodniopomorskie'!J54)</f>
        <v>1684</v>
      </c>
      <c r="K54" s="88">
        <f>SUM('dolnośląskie:ODR woj. zachodniopomorskie'!K54)</f>
        <v>53864</v>
      </c>
    </row>
    <row r="55" spans="1:15">
      <c r="A55" s="2720"/>
      <c r="B55" s="1881"/>
      <c r="C55" s="73">
        <v>2018</v>
      </c>
      <c r="D55" s="37"/>
      <c r="E55" s="38"/>
      <c r="F55" s="38"/>
      <c r="G55" s="38"/>
      <c r="H55" s="38"/>
      <c r="I55" s="38"/>
      <c r="J55" s="38"/>
      <c r="K55" s="88"/>
    </row>
    <row r="56" spans="1:15">
      <c r="A56" s="2720"/>
      <c r="B56" s="1881"/>
      <c r="C56" s="73">
        <v>2019</v>
      </c>
      <c r="D56" s="37"/>
      <c r="E56" s="38"/>
      <c r="F56" s="38"/>
      <c r="G56" s="38"/>
      <c r="H56" s="38"/>
      <c r="I56" s="38"/>
      <c r="J56" s="38"/>
      <c r="K56" s="88"/>
    </row>
    <row r="57" spans="1:15">
      <c r="A57" s="2720"/>
      <c r="B57" s="1881"/>
      <c r="C57" s="73">
        <v>2020</v>
      </c>
      <c r="D57" s="37"/>
      <c r="E57" s="38"/>
      <c r="F57" s="38"/>
      <c r="G57" s="38"/>
      <c r="H57" s="38"/>
      <c r="I57" s="38"/>
      <c r="J57" s="38"/>
      <c r="K57" s="93"/>
    </row>
    <row r="58" spans="1:15" ht="20.25" customHeight="1" thickBot="1">
      <c r="A58" s="1876"/>
      <c r="B58" s="2723"/>
      <c r="C58" s="42" t="s">
        <v>13</v>
      </c>
      <c r="D58" s="43">
        <f>SUM(D51:D57)</f>
        <v>35</v>
      </c>
      <c r="E58" s="44">
        <f>SUM(E51:E57)</f>
        <v>2</v>
      </c>
      <c r="F58" s="44">
        <f>SUM(F51:F57)</f>
        <v>2</v>
      </c>
      <c r="G58" s="44">
        <f>SUM(G51:G57)</f>
        <v>77165</v>
      </c>
      <c r="H58" s="44">
        <f>SUM(H51:H57)</f>
        <v>5998</v>
      </c>
      <c r="I58" s="44">
        <f t="shared" ref="I58" si="3">SUM(I51:I57)</f>
        <v>281</v>
      </c>
      <c r="J58" s="44">
        <f>SUM(J51:J57)</f>
        <v>3518</v>
      </c>
      <c r="K58" s="48">
        <f>SUM(K50:K56)</f>
        <v>140989</v>
      </c>
    </row>
    <row r="59" spans="1:15" ht="15.75" thickBot="1"/>
    <row r="60" spans="1:15" ht="21" customHeight="1">
      <c r="A60" s="2494" t="s">
        <v>44</v>
      </c>
      <c r="B60" s="1818"/>
      <c r="C60" s="2486" t="s">
        <v>9</v>
      </c>
      <c r="D60" s="2417" t="s">
        <v>45</v>
      </c>
      <c r="E60" s="1541" t="s">
        <v>6</v>
      </c>
      <c r="F60" s="1819"/>
      <c r="G60" s="1819"/>
      <c r="H60" s="1819"/>
      <c r="I60" s="1819"/>
      <c r="J60" s="1819"/>
      <c r="K60" s="1819"/>
      <c r="L60" s="1820"/>
    </row>
    <row r="61" spans="1:15" ht="115.5" customHeight="1">
      <c r="A61" s="2724"/>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2725"/>
      <c r="B62" s="2032"/>
      <c r="C62" s="106">
        <v>2014</v>
      </c>
      <c r="D62" s="107"/>
      <c r="E62" s="108"/>
      <c r="F62" s="109"/>
      <c r="G62" s="109"/>
      <c r="H62" s="109"/>
      <c r="I62" s="109"/>
      <c r="J62" s="109"/>
      <c r="K62" s="109"/>
      <c r="L62" s="34"/>
      <c r="M62" s="7"/>
      <c r="N62" s="7"/>
      <c r="O62" s="7"/>
    </row>
    <row r="63" spans="1:15">
      <c r="A63" s="2726"/>
      <c r="B63" s="2032"/>
      <c r="C63" s="110">
        <v>2015</v>
      </c>
      <c r="D63" s="37">
        <f>SUM('dolnośląskie:ODR woj. zachodniopomorskie'!D63)</f>
        <v>80</v>
      </c>
      <c r="E63" s="112">
        <f>SUM('dolnośląskie:ODR woj. zachodniopomorskie'!E63)</f>
        <v>26</v>
      </c>
      <c r="F63" s="37">
        <f>SUM('dolnośląskie:ODR woj. zachodniopomorskie'!F63)</f>
        <v>12</v>
      </c>
      <c r="G63" s="37">
        <f>SUM('dolnośląskie:ODR woj. zachodniopomorskie'!G63)</f>
        <v>0</v>
      </c>
      <c r="H63" s="37">
        <f>SUM('dolnośląskie:ODR woj. zachodniopomorskie'!H63)</f>
        <v>2</v>
      </c>
      <c r="I63" s="37">
        <f>SUM('dolnośląskie:ODR woj. zachodniopomorskie'!I63)</f>
        <v>4</v>
      </c>
      <c r="J63" s="37">
        <f>SUM('dolnośląskie:ODR woj. zachodniopomorskie'!J63)</f>
        <v>1</v>
      </c>
      <c r="K63" s="37">
        <f>SUM('dolnośląskie:ODR woj. zachodniopomorskie'!K63)</f>
        <v>0</v>
      </c>
      <c r="L63" s="88">
        <f>SUM('dolnośląskie:ODR woj. zachodniopomorskie'!L63)</f>
        <v>35</v>
      </c>
      <c r="M63" s="7"/>
      <c r="N63" s="7"/>
      <c r="O63" s="7"/>
    </row>
    <row r="64" spans="1:15">
      <c r="A64" s="2726"/>
      <c r="B64" s="2032"/>
      <c r="C64" s="110">
        <v>2016</v>
      </c>
      <c r="D64" s="37">
        <f>SUM('dolnośląskie:ODR woj. zachodniopomorskie'!D64)</f>
        <v>749</v>
      </c>
      <c r="E64" s="112">
        <f>SUM('dolnośląskie:ODR woj. zachodniopomorskie'!E64)</f>
        <v>395</v>
      </c>
      <c r="F64" s="37">
        <f>SUM('dolnośląskie:ODR woj. zachodniopomorskie'!F64)</f>
        <v>100</v>
      </c>
      <c r="G64" s="37">
        <f>SUM('dolnośląskie:ODR woj. zachodniopomorskie'!G64)</f>
        <v>15</v>
      </c>
      <c r="H64" s="37">
        <f>SUM('dolnośląskie:ODR woj. zachodniopomorskie'!H64)</f>
        <v>43</v>
      </c>
      <c r="I64" s="37">
        <f>SUM('dolnośląskie:ODR woj. zachodniopomorskie'!I64)</f>
        <v>1</v>
      </c>
      <c r="J64" s="37">
        <f>SUM('dolnośląskie:ODR woj. zachodniopomorskie'!J64)</f>
        <v>0</v>
      </c>
      <c r="K64" s="37">
        <f>SUM('dolnośląskie:ODR woj. zachodniopomorskie'!K64)</f>
        <v>1</v>
      </c>
      <c r="L64" s="88">
        <f>SUM('dolnośląskie:ODR woj. zachodniopomorskie'!L64)</f>
        <v>194</v>
      </c>
      <c r="M64" s="7"/>
      <c r="N64" s="7"/>
      <c r="O64" s="7"/>
    </row>
    <row r="65" spans="1:20">
      <c r="A65" s="2726"/>
      <c r="B65" s="2032"/>
      <c r="C65" s="110">
        <v>2017</v>
      </c>
      <c r="D65" s="37">
        <f>SUM('dolnośląskie:ODR woj. zachodniopomorskie'!D65)</f>
        <v>1508</v>
      </c>
      <c r="E65" s="112">
        <f>SUM('dolnośląskie:ODR woj. zachodniopomorskie'!E65)</f>
        <v>1327</v>
      </c>
      <c r="F65" s="37">
        <f>SUM('dolnośląskie:ODR woj. zachodniopomorskie'!F65)</f>
        <v>33</v>
      </c>
      <c r="G65" s="37">
        <f>SUM('dolnośląskie:ODR woj. zachodniopomorskie'!G65)</f>
        <v>9</v>
      </c>
      <c r="H65" s="37">
        <f>SUM('dolnośląskie:ODR woj. zachodniopomorskie'!H65)</f>
        <v>40</v>
      </c>
      <c r="I65" s="37">
        <f>SUM('dolnośląskie:ODR woj. zachodniopomorskie'!I65)</f>
        <v>0</v>
      </c>
      <c r="J65" s="37">
        <f>SUM('dolnośląskie:ODR woj. zachodniopomorskie'!J65)</f>
        <v>1</v>
      </c>
      <c r="K65" s="37">
        <f>SUM('dolnośląskie:ODR woj. zachodniopomorskie'!K65)</f>
        <v>3</v>
      </c>
      <c r="L65" s="88">
        <f>SUM('dolnośląskie:ODR woj. zachodniopomorskie'!L65)</f>
        <v>95</v>
      </c>
      <c r="M65" s="7"/>
      <c r="N65" s="7"/>
      <c r="O65" s="7"/>
    </row>
    <row r="66" spans="1:20">
      <c r="A66" s="2726"/>
      <c r="B66" s="2032"/>
      <c r="C66" s="110">
        <v>2018</v>
      </c>
      <c r="D66" s="111"/>
      <c r="E66" s="112"/>
      <c r="F66" s="38"/>
      <c r="G66" s="38"/>
      <c r="H66" s="38"/>
      <c r="I66" s="38"/>
      <c r="J66" s="38"/>
      <c r="K66" s="38"/>
      <c r="L66" s="88"/>
      <c r="M66" s="7"/>
      <c r="N66" s="7"/>
      <c r="O66" s="7"/>
    </row>
    <row r="67" spans="1:20" ht="17.25" customHeight="1">
      <c r="A67" s="2726"/>
      <c r="B67" s="2032"/>
      <c r="C67" s="110">
        <v>2019</v>
      </c>
      <c r="D67" s="111"/>
      <c r="E67" s="112"/>
      <c r="F67" s="38"/>
      <c r="G67" s="38"/>
      <c r="H67" s="38"/>
      <c r="I67" s="38"/>
      <c r="J67" s="38"/>
      <c r="K67" s="38"/>
      <c r="L67" s="88"/>
      <c r="M67" s="7"/>
      <c r="N67" s="7"/>
      <c r="O67" s="7"/>
    </row>
    <row r="68" spans="1:20" ht="16.5" customHeight="1">
      <c r="A68" s="2726"/>
      <c r="B68" s="2032"/>
      <c r="C68" s="110">
        <v>2020</v>
      </c>
      <c r="D68" s="111"/>
      <c r="E68" s="112"/>
      <c r="F68" s="38"/>
      <c r="G68" s="38"/>
      <c r="H68" s="38"/>
      <c r="I68" s="38"/>
      <c r="J68" s="38"/>
      <c r="K68" s="38"/>
      <c r="L68" s="88"/>
      <c r="M68" s="78"/>
      <c r="N68" s="78"/>
      <c r="O68" s="78"/>
    </row>
    <row r="69" spans="1:20" ht="18" customHeight="1" thickBot="1">
      <c r="A69" s="2066"/>
      <c r="B69" s="2719"/>
      <c r="C69" s="113" t="s">
        <v>13</v>
      </c>
      <c r="D69" s="114">
        <f>SUM(D62:D68)</f>
        <v>2337</v>
      </c>
      <c r="E69" s="115">
        <f>SUM(E62:E68)</f>
        <v>1748</v>
      </c>
      <c r="F69" s="116">
        <f t="shared" ref="F69:I69" si="4">SUM(F62:F68)</f>
        <v>145</v>
      </c>
      <c r="G69" s="116">
        <f t="shared" si="4"/>
        <v>24</v>
      </c>
      <c r="H69" s="116">
        <f t="shared" si="4"/>
        <v>85</v>
      </c>
      <c r="I69" s="116">
        <f t="shared" si="4"/>
        <v>5</v>
      </c>
      <c r="J69" s="116"/>
      <c r="K69" s="116">
        <f>SUM(K62:K68)</f>
        <v>4</v>
      </c>
      <c r="L69" s="117">
        <f>SUM(L62:L68)</f>
        <v>324</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1840" t="s">
        <v>47</v>
      </c>
      <c r="B71" s="1816" t="s">
        <v>171</v>
      </c>
      <c r="C71" s="68" t="s">
        <v>9</v>
      </c>
      <c r="D71" s="123" t="s">
        <v>49</v>
      </c>
      <c r="E71" s="123" t="s">
        <v>50</v>
      </c>
      <c r="F71" s="124" t="s">
        <v>51</v>
      </c>
      <c r="G71" s="1754" t="s">
        <v>52</v>
      </c>
      <c r="H71" s="126" t="s">
        <v>14</v>
      </c>
      <c r="I71" s="127" t="s">
        <v>15</v>
      </c>
      <c r="J71" s="128" t="s">
        <v>16</v>
      </c>
      <c r="K71" s="127" t="s">
        <v>17</v>
      </c>
      <c r="L71" s="127" t="s">
        <v>18</v>
      </c>
      <c r="M71" s="129" t="s">
        <v>19</v>
      </c>
      <c r="N71" s="128" t="s">
        <v>20</v>
      </c>
      <c r="O71" s="130" t="s">
        <v>21</v>
      </c>
    </row>
    <row r="72" spans="1:20" ht="15" customHeight="1">
      <c r="A72" s="2720"/>
      <c r="B72" s="1899"/>
      <c r="C72" s="72">
        <v>2014</v>
      </c>
      <c r="D72" s="131"/>
      <c r="E72" s="131"/>
      <c r="F72" s="131"/>
      <c r="G72" s="132">
        <f>SUM(D72:F72)</f>
        <v>0</v>
      </c>
      <c r="H72" s="30"/>
      <c r="I72" s="133"/>
      <c r="J72" s="109"/>
      <c r="K72" s="109"/>
      <c r="L72" s="109"/>
      <c r="M72" s="109"/>
      <c r="N72" s="109"/>
      <c r="O72" s="134"/>
    </row>
    <row r="73" spans="1:20">
      <c r="A73" s="2721"/>
      <c r="B73" s="1899"/>
      <c r="C73" s="73">
        <v>2015</v>
      </c>
      <c r="D73" s="37">
        <f>SUM('dolnośląskie:ODR woj. zachodniopomorskie'!D73)</f>
        <v>130</v>
      </c>
      <c r="E73" s="37">
        <f>SUM('dolnośląskie:ODR woj. zachodniopomorskie'!E73)</f>
        <v>6</v>
      </c>
      <c r="F73" s="37">
        <f>SUM('dolnośląskie:ODR woj. zachodniopomorskie'!F73)</f>
        <v>3788</v>
      </c>
      <c r="G73" s="132">
        <f>SUM(D73:F73)</f>
        <v>3924</v>
      </c>
      <c r="H73" s="37">
        <f>SUM('dolnośląskie:ODR woj. zachodniopomorskie'!H73)</f>
        <v>24</v>
      </c>
      <c r="I73" s="37">
        <f>SUM('dolnośląskie:ODR woj. zachodniopomorskie'!I73)</f>
        <v>2483</v>
      </c>
      <c r="J73" s="37">
        <f>SUM('dolnośląskie:ODR woj. zachodniopomorskie'!J73)</f>
        <v>0</v>
      </c>
      <c r="K73" s="37">
        <f>SUM('dolnośląskie:ODR woj. zachodniopomorskie'!K73)</f>
        <v>9</v>
      </c>
      <c r="L73" s="37">
        <f>SUM('dolnośląskie:ODR woj. zachodniopomorskie'!L73)</f>
        <v>2</v>
      </c>
      <c r="M73" s="37">
        <f>SUM('dolnośląskie:ODR woj. zachodniopomorskie'!M73)</f>
        <v>0</v>
      </c>
      <c r="N73" s="37">
        <f>SUM('dolnośląskie:ODR woj. zachodniopomorskie'!N73)</f>
        <v>0</v>
      </c>
      <c r="O73" s="88">
        <f>SUM('dolnośląskie:ODR woj. zachodniopomorskie'!O73)</f>
        <v>1406</v>
      </c>
    </row>
    <row r="74" spans="1:20">
      <c r="A74" s="2721"/>
      <c r="B74" s="1899"/>
      <c r="C74" s="73">
        <v>2016</v>
      </c>
      <c r="D74" s="37">
        <f>SUM('dolnośląskie:ODR woj. zachodniopomorskie'!D74)</f>
        <v>1002</v>
      </c>
      <c r="E74" s="37">
        <f>SUM('dolnośląskie:ODR woj. zachodniopomorskie'!E74)</f>
        <v>57</v>
      </c>
      <c r="F74" s="37">
        <f>SUM('dolnośląskie:ODR woj. zachodniopomorskie'!F74)</f>
        <v>51</v>
      </c>
      <c r="G74" s="132">
        <f>SUM(D74:F74)</f>
        <v>1110</v>
      </c>
      <c r="H74" s="37">
        <f>SUM('dolnośląskie:ODR woj. zachodniopomorskie'!H74)</f>
        <v>27</v>
      </c>
      <c r="I74" s="37">
        <f>SUM('dolnośląskie:ODR woj. zachodniopomorskie'!I74)</f>
        <v>173</v>
      </c>
      <c r="J74" s="37">
        <f>SUM('dolnośląskie:ODR woj. zachodniopomorskie'!J74)</f>
        <v>50</v>
      </c>
      <c r="K74" s="37">
        <f>SUM('dolnośląskie:ODR woj. zachodniopomorskie'!K74)</f>
        <v>42</v>
      </c>
      <c r="L74" s="37">
        <f>SUM('dolnośląskie:ODR woj. zachodniopomorskie'!L74)</f>
        <v>78</v>
      </c>
      <c r="M74" s="37">
        <f>SUM('dolnośląskie:ODR woj. zachodniopomorskie'!M74)</f>
        <v>2</v>
      </c>
      <c r="N74" s="37">
        <f>SUM('dolnośląskie:ODR woj. zachodniopomorskie'!N74)</f>
        <v>0</v>
      </c>
      <c r="O74" s="88">
        <f>SUM('dolnośląskie:ODR woj. zachodniopomorskie'!O74)</f>
        <v>738</v>
      </c>
    </row>
    <row r="75" spans="1:20">
      <c r="A75" s="2721"/>
      <c r="B75" s="1899"/>
      <c r="C75" s="73">
        <v>2017</v>
      </c>
      <c r="D75" s="37">
        <f>SUM('dolnośląskie:ODR woj. zachodniopomorskie'!D75)</f>
        <v>549</v>
      </c>
      <c r="E75" s="37">
        <f>SUM('dolnośląskie:ODR woj. zachodniopomorskie'!E75)</f>
        <v>52</v>
      </c>
      <c r="F75" s="37">
        <f>SUM('dolnośląskie:ODR woj. zachodniopomorskie'!F75)</f>
        <v>96</v>
      </c>
      <c r="G75" s="132">
        <f t="shared" ref="G75:G78" si="5">SUM(D75:F75)</f>
        <v>697</v>
      </c>
      <c r="H75" s="37">
        <f>SUM('dolnośląskie:ODR woj. zachodniopomorskie'!H75)</f>
        <v>100</v>
      </c>
      <c r="I75" s="37">
        <f>SUM('dolnośląskie:ODR woj. zachodniopomorskie'!I75)</f>
        <v>350</v>
      </c>
      <c r="J75" s="37">
        <f>SUM('dolnośląskie:ODR woj. zachodniopomorskie'!J75)</f>
        <v>18</v>
      </c>
      <c r="K75" s="37">
        <f>SUM('dolnośląskie:ODR woj. zachodniopomorskie'!K75)</f>
        <v>60</v>
      </c>
      <c r="L75" s="37">
        <f>SUM('dolnośląskie:ODR woj. zachodniopomorskie'!L75)</f>
        <v>1</v>
      </c>
      <c r="M75" s="37">
        <f>SUM('dolnośląskie:ODR woj. zachodniopomorskie'!M75)</f>
        <v>0</v>
      </c>
      <c r="N75" s="37">
        <f>SUM('dolnośląskie:ODR woj. zachodniopomorskie'!N75)</f>
        <v>0</v>
      </c>
      <c r="O75" s="88">
        <f>SUM('dolnośląskie:ODR woj. zachodniopomorskie'!O75)</f>
        <v>168</v>
      </c>
    </row>
    <row r="76" spans="1:20">
      <c r="A76" s="2721"/>
      <c r="B76" s="1899"/>
      <c r="C76" s="73">
        <v>2018</v>
      </c>
      <c r="D76" s="135"/>
      <c r="E76" s="135"/>
      <c r="F76" s="135"/>
      <c r="G76" s="132">
        <f t="shared" si="5"/>
        <v>0</v>
      </c>
      <c r="H76" s="37"/>
      <c r="I76" s="37"/>
      <c r="J76" s="38"/>
      <c r="K76" s="38"/>
      <c r="L76" s="38"/>
      <c r="M76" s="38"/>
      <c r="N76" s="38"/>
      <c r="O76" s="88"/>
    </row>
    <row r="77" spans="1:20" ht="15.75" customHeight="1">
      <c r="A77" s="2721"/>
      <c r="B77" s="1899"/>
      <c r="C77" s="73">
        <v>2019</v>
      </c>
      <c r="D77" s="135"/>
      <c r="E77" s="135"/>
      <c r="F77" s="135"/>
      <c r="G77" s="132">
        <f t="shared" si="5"/>
        <v>0</v>
      </c>
      <c r="H77" s="37"/>
      <c r="I77" s="37"/>
      <c r="J77" s="38"/>
      <c r="K77" s="38"/>
      <c r="L77" s="38"/>
      <c r="M77" s="38"/>
      <c r="N77" s="38"/>
      <c r="O77" s="88"/>
    </row>
    <row r="78" spans="1:20" ht="17.25" customHeight="1">
      <c r="A78" s="2721"/>
      <c r="B78" s="1899"/>
      <c r="C78" s="73">
        <v>2020</v>
      </c>
      <c r="D78" s="135"/>
      <c r="E78" s="135"/>
      <c r="F78" s="135"/>
      <c r="G78" s="132">
        <f t="shared" si="5"/>
        <v>0</v>
      </c>
      <c r="H78" s="37"/>
      <c r="I78" s="37"/>
      <c r="J78" s="38"/>
      <c r="K78" s="38"/>
      <c r="L78" s="38"/>
      <c r="M78" s="38"/>
      <c r="N78" s="38"/>
      <c r="O78" s="88"/>
    </row>
    <row r="79" spans="1:20" ht="20.25" customHeight="1" thickBot="1">
      <c r="A79" s="1980"/>
      <c r="B79" s="2727"/>
      <c r="C79" s="136" t="s">
        <v>13</v>
      </c>
      <c r="D79" s="114">
        <f>SUM(D72:D78)</f>
        <v>1681</v>
      </c>
      <c r="E79" s="114">
        <f>SUM(E72:E78)</f>
        <v>115</v>
      </c>
      <c r="F79" s="114">
        <f>SUM(F72:F78)</f>
        <v>3935</v>
      </c>
      <c r="G79" s="137">
        <f>SUM(G72:G78)</f>
        <v>5731</v>
      </c>
      <c r="H79" s="139">
        <f>SUM(H73:H78)</f>
        <v>151</v>
      </c>
      <c r="I79" s="139">
        <f t="shared" ref="I79:O79" si="6">SUM(I72:I78)</f>
        <v>3006</v>
      </c>
      <c r="J79" s="116">
        <f t="shared" si="6"/>
        <v>68</v>
      </c>
      <c r="K79" s="116">
        <f t="shared" si="6"/>
        <v>111</v>
      </c>
      <c r="L79" s="116">
        <f t="shared" si="6"/>
        <v>81</v>
      </c>
      <c r="M79" s="116">
        <f t="shared" si="6"/>
        <v>2</v>
      </c>
      <c r="N79" s="116">
        <f t="shared" si="6"/>
        <v>0</v>
      </c>
      <c r="O79" s="117">
        <f t="shared" si="6"/>
        <v>2312</v>
      </c>
      <c r="P79" s="1847"/>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1841" t="s">
        <v>56</v>
      </c>
      <c r="B84" s="1821" t="s">
        <v>178</v>
      </c>
      <c r="C84" s="149" t="s">
        <v>9</v>
      </c>
      <c r="D84" s="1755" t="s">
        <v>58</v>
      </c>
      <c r="E84" s="151" t="s">
        <v>59</v>
      </c>
      <c r="F84" s="152" t="s">
        <v>60</v>
      </c>
      <c r="G84" s="152" t="s">
        <v>61</v>
      </c>
      <c r="H84" s="152" t="s">
        <v>62</v>
      </c>
      <c r="I84" s="152" t="s">
        <v>63</v>
      </c>
      <c r="J84" s="152" t="s">
        <v>64</v>
      </c>
      <c r="K84" s="153" t="s">
        <v>65</v>
      </c>
    </row>
    <row r="85" spans="1:16" ht="15" customHeight="1">
      <c r="A85" s="2728"/>
      <c r="B85" s="2697"/>
      <c r="C85" s="72">
        <v>2014</v>
      </c>
      <c r="D85" s="154"/>
      <c r="E85" s="155"/>
      <c r="F85" s="31"/>
      <c r="G85" s="31"/>
      <c r="H85" s="31"/>
      <c r="I85" s="31"/>
      <c r="J85" s="31"/>
      <c r="K85" s="34"/>
    </row>
    <row r="86" spans="1:16">
      <c r="A86" s="2728"/>
      <c r="B86" s="2697"/>
      <c r="C86" s="73">
        <v>2015</v>
      </c>
      <c r="D86" s="37">
        <f>SUM('dolnośląskie:ODR woj. zachodniopomorskie'!D86)</f>
        <v>31</v>
      </c>
      <c r="E86" s="112">
        <f>SUM('dolnośląskie:ODR woj. zachodniopomorskie'!E86)</f>
        <v>1</v>
      </c>
      <c r="F86" s="37">
        <f>SUM('dolnośląskie:ODR woj. zachodniopomorskie'!F86)</f>
        <v>0</v>
      </c>
      <c r="G86" s="37">
        <f>SUM('dolnośląskie:ODR woj. zachodniopomorskie'!G86)</f>
        <v>0</v>
      </c>
      <c r="H86" s="37">
        <f>SUM('dolnośląskie:ODR woj. zachodniopomorskie'!H86)</f>
        <v>0</v>
      </c>
      <c r="I86" s="37">
        <f>SUM('dolnośląskie:ODR woj. zachodniopomorskie'!I86)</f>
        <v>0</v>
      </c>
      <c r="J86" s="37">
        <f>SUM('dolnośląskie:ODR woj. zachodniopomorskie'!J86)</f>
        <v>0</v>
      </c>
      <c r="K86" s="88">
        <f>SUM('dolnośląskie:ODR woj. zachodniopomorskie'!K86)</f>
        <v>30</v>
      </c>
    </row>
    <row r="87" spans="1:16">
      <c r="A87" s="2728"/>
      <c r="B87" s="2697"/>
      <c r="C87" s="73">
        <v>2016</v>
      </c>
      <c r="D87" s="37">
        <f>SUM('dolnośląskie:ODR woj. zachodniopomorskie'!D87)</f>
        <v>21</v>
      </c>
      <c r="E87" s="112">
        <f>SUM('dolnośląskie:ODR woj. zachodniopomorskie'!E87)</f>
        <v>13</v>
      </c>
      <c r="F87" s="37">
        <f>SUM('dolnośląskie:ODR woj. zachodniopomorskie'!F87)</f>
        <v>2</v>
      </c>
      <c r="G87" s="37">
        <f>SUM('dolnośląskie:ODR woj. zachodniopomorskie'!G87)</f>
        <v>0</v>
      </c>
      <c r="H87" s="37">
        <f>SUM('dolnośląskie:ODR woj. zachodniopomorskie'!H87)</f>
        <v>3</v>
      </c>
      <c r="I87" s="37">
        <f>SUM('dolnośląskie:ODR woj. zachodniopomorskie'!I87)</f>
        <v>0</v>
      </c>
      <c r="J87" s="37">
        <f>SUM('dolnośląskie:ODR woj. zachodniopomorskie'!J87)</f>
        <v>0</v>
      </c>
      <c r="K87" s="88">
        <f>SUM('dolnośląskie:ODR woj. zachodniopomorskie'!K87)</f>
        <v>3</v>
      </c>
    </row>
    <row r="88" spans="1:16">
      <c r="A88" s="2728"/>
      <c r="B88" s="2697"/>
      <c r="C88" s="73">
        <v>2017</v>
      </c>
      <c r="D88" s="37">
        <f>SUM('dolnośląskie:ODR woj. zachodniopomorskie'!D88)</f>
        <v>112</v>
      </c>
      <c r="E88" s="112">
        <f>SUM('dolnośląskie:ODR woj. zachodniopomorskie'!E88)</f>
        <v>52</v>
      </c>
      <c r="F88" s="37">
        <f>SUM('dolnośląskie:ODR woj. zachodniopomorskie'!F88)</f>
        <v>7</v>
      </c>
      <c r="G88" s="37">
        <f>SUM('dolnośląskie:ODR woj. zachodniopomorskie'!G88)</f>
        <v>1</v>
      </c>
      <c r="H88" s="37">
        <f>SUM('dolnośląskie:ODR woj. zachodniopomorskie'!H88)</f>
        <v>29</v>
      </c>
      <c r="I88" s="37">
        <f>SUM('dolnośląskie:ODR woj. zachodniopomorskie'!I88)</f>
        <v>22</v>
      </c>
      <c r="J88" s="37">
        <f>SUM('dolnośląskie:ODR woj. zachodniopomorskie'!J88)</f>
        <v>0</v>
      </c>
      <c r="K88" s="88">
        <f>SUM('dolnośląskie:ODR woj. zachodniopomorskie'!K88)</f>
        <v>1</v>
      </c>
    </row>
    <row r="89" spans="1:16">
      <c r="A89" s="2728"/>
      <c r="B89" s="2697"/>
      <c r="C89" s="73">
        <v>2018</v>
      </c>
      <c r="D89" s="156"/>
      <c r="E89" s="112"/>
      <c r="F89" s="38"/>
      <c r="G89" s="38"/>
      <c r="H89" s="38"/>
      <c r="I89" s="38"/>
      <c r="J89" s="38"/>
      <c r="K89" s="88"/>
    </row>
    <row r="90" spans="1:16">
      <c r="A90" s="2728"/>
      <c r="B90" s="2697"/>
      <c r="C90" s="73">
        <v>2019</v>
      </c>
      <c r="D90" s="156"/>
      <c r="E90" s="112"/>
      <c r="F90" s="38"/>
      <c r="G90" s="38"/>
      <c r="H90" s="38"/>
      <c r="I90" s="38"/>
      <c r="J90" s="38"/>
      <c r="K90" s="88"/>
    </row>
    <row r="91" spans="1:16">
      <c r="A91" s="2728"/>
      <c r="B91" s="2697"/>
      <c r="C91" s="73">
        <v>2020</v>
      </c>
      <c r="D91" s="156"/>
      <c r="E91" s="112"/>
      <c r="F91" s="38"/>
      <c r="G91" s="38"/>
      <c r="H91" s="38"/>
      <c r="I91" s="38"/>
      <c r="J91" s="38"/>
      <c r="K91" s="88"/>
    </row>
    <row r="92" spans="1:16" ht="18" customHeight="1" thickBot="1">
      <c r="A92" s="2707"/>
      <c r="B92" s="2729"/>
      <c r="C92" s="136" t="s">
        <v>13</v>
      </c>
      <c r="D92" s="157">
        <f t="shared" ref="D92:I92" si="7">SUM(D85:D91)</f>
        <v>164</v>
      </c>
      <c r="E92" s="115">
        <f t="shared" si="7"/>
        <v>66</v>
      </c>
      <c r="F92" s="116">
        <f t="shared" si="7"/>
        <v>9</v>
      </c>
      <c r="G92" s="116">
        <f t="shared" si="7"/>
        <v>1</v>
      </c>
      <c r="H92" s="116">
        <f t="shared" si="7"/>
        <v>32</v>
      </c>
      <c r="I92" s="116">
        <f t="shared" si="7"/>
        <v>22</v>
      </c>
      <c r="J92" s="116">
        <f>SUM(J85:J91)</f>
        <v>0</v>
      </c>
      <c r="K92" s="117">
        <f>SUM(K85:K91)</f>
        <v>34</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497" t="s">
        <v>68</v>
      </c>
      <c r="B96" s="2481" t="s">
        <v>179</v>
      </c>
      <c r="C96" s="2482" t="s">
        <v>9</v>
      </c>
      <c r="D96" s="2411" t="s">
        <v>70</v>
      </c>
      <c r="E96" s="2412"/>
      <c r="F96" s="1756" t="s">
        <v>71</v>
      </c>
      <c r="G96" s="1822"/>
      <c r="H96" s="1822"/>
      <c r="I96" s="1822"/>
      <c r="J96" s="1822"/>
      <c r="K96" s="1822"/>
      <c r="L96" s="1822"/>
      <c r="M96" s="1823"/>
      <c r="N96" s="165"/>
      <c r="O96" s="165"/>
      <c r="P96" s="165"/>
    </row>
    <row r="97" spans="1:16" ht="100.5" customHeight="1">
      <c r="A97" s="2730"/>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2732"/>
      <c r="B98" s="2700"/>
      <c r="C98" s="106">
        <v>2014</v>
      </c>
      <c r="D98" s="30"/>
      <c r="E98" s="31"/>
      <c r="F98" s="174"/>
      <c r="G98" s="175"/>
      <c r="H98" s="175"/>
      <c r="I98" s="175"/>
      <c r="J98" s="175"/>
      <c r="K98" s="175"/>
      <c r="L98" s="175"/>
      <c r="M98" s="176"/>
      <c r="N98" s="165"/>
      <c r="O98" s="165"/>
      <c r="P98" s="165"/>
    </row>
    <row r="99" spans="1:16" ht="16.5" customHeight="1">
      <c r="A99" s="2733"/>
      <c r="B99" s="2700"/>
      <c r="C99" s="110">
        <v>2015</v>
      </c>
      <c r="D99" s="37">
        <f>SUM('dolnośląskie:ODR woj. zachodniopomorskie'!D99)</f>
        <v>21</v>
      </c>
      <c r="E99" s="37">
        <f>SUM('dolnośląskie:ODR woj. zachodniopomorskie'!E99)</f>
        <v>30</v>
      </c>
      <c r="F99" s="177">
        <f>SUM('dolnośląskie:ODR woj. zachodniopomorskie'!F99)</f>
        <v>1</v>
      </c>
      <c r="G99" s="37">
        <f>SUM('dolnośląskie:ODR woj. zachodniopomorskie'!G99)</f>
        <v>0</v>
      </c>
      <c r="H99" s="37">
        <f>SUM('dolnośląskie:ODR woj. zachodniopomorskie'!H99)</f>
        <v>0</v>
      </c>
      <c r="I99" s="37">
        <f>SUM('dolnośląskie:ODR woj. zachodniopomorskie'!I99)</f>
        <v>1</v>
      </c>
      <c r="J99" s="37">
        <f>SUM('dolnośląskie:ODR woj. zachodniopomorskie'!J99)</f>
        <v>1</v>
      </c>
      <c r="K99" s="37">
        <f>SUM('dolnośląskie:ODR woj. zachodniopomorskie'!K99)</f>
        <v>0</v>
      </c>
      <c r="L99" s="37">
        <f>SUM('dolnośląskie:ODR woj. zachodniopomorskie'!L99)</f>
        <v>0</v>
      </c>
      <c r="M99" s="179">
        <f>SUM('dolnośląskie:ODR woj. zachodniopomorskie'!M99)</f>
        <v>18</v>
      </c>
      <c r="N99" s="165"/>
      <c r="O99" s="165"/>
      <c r="P99" s="165"/>
    </row>
    <row r="100" spans="1:16" ht="16.5" customHeight="1">
      <c r="A100" s="2733"/>
      <c r="B100" s="2700"/>
      <c r="C100" s="110">
        <v>2016</v>
      </c>
      <c r="D100" s="37">
        <f>SUM('dolnośląskie:ODR woj. zachodniopomorskie'!D100)</f>
        <v>20</v>
      </c>
      <c r="E100" s="37">
        <f>SUM('dolnośląskie:ODR woj. zachodniopomorskie'!E100)</f>
        <v>122</v>
      </c>
      <c r="F100" s="177">
        <f>SUM('dolnośląskie:ODR woj. zachodniopomorskie'!F100)</f>
        <v>1</v>
      </c>
      <c r="G100" s="37">
        <f>SUM('dolnośląskie:ODR woj. zachodniopomorskie'!G100)</f>
        <v>0</v>
      </c>
      <c r="H100" s="37">
        <f>SUM('dolnośląskie:ODR woj. zachodniopomorskie'!H100)</f>
        <v>0</v>
      </c>
      <c r="I100" s="37">
        <f>SUM('dolnośląskie:ODR woj. zachodniopomorskie'!I100)</f>
        <v>1</v>
      </c>
      <c r="J100" s="37">
        <f>SUM('dolnośląskie:ODR woj. zachodniopomorskie'!J100)</f>
        <v>1</v>
      </c>
      <c r="K100" s="37">
        <f>SUM('dolnośląskie:ODR woj. zachodniopomorskie'!K100)</f>
        <v>0</v>
      </c>
      <c r="L100" s="37">
        <f>SUM('dolnośląskie:ODR woj. zachodniopomorskie'!L100)</f>
        <v>0</v>
      </c>
      <c r="M100" s="179">
        <f>SUM('dolnośląskie:ODR woj. zachodniopomorskie'!M100)</f>
        <v>17</v>
      </c>
      <c r="N100" s="165"/>
      <c r="O100" s="165"/>
      <c r="P100" s="165"/>
    </row>
    <row r="101" spans="1:16" ht="16.5" customHeight="1">
      <c r="A101" s="2733"/>
      <c r="B101" s="2700"/>
      <c r="C101" s="110">
        <v>2017</v>
      </c>
      <c r="D101" s="90">
        <f>SUM('dolnośląskie:ODR woj. zachodniopomorskie'!D101)</f>
        <v>24</v>
      </c>
      <c r="E101" s="37">
        <f>SUM('dolnośląskie:ODR woj. zachodniopomorskie'!E101)</f>
        <v>139</v>
      </c>
      <c r="F101" s="177">
        <f>SUM('dolnośląskie:ODR woj. zachodniopomorskie'!F101)</f>
        <v>2</v>
      </c>
      <c r="G101" s="37">
        <f>SUM('dolnośląskie:ODR woj. zachodniopomorskie'!G101)</f>
        <v>0</v>
      </c>
      <c r="H101" s="37">
        <f>SUM('dolnośląskie:ODR woj. zachodniopomorskie'!H101)</f>
        <v>0</v>
      </c>
      <c r="I101" s="37">
        <f>SUM('dolnośląskie:ODR woj. zachodniopomorskie'!I101)</f>
        <v>0</v>
      </c>
      <c r="J101" s="37">
        <f>SUM('dolnośląskie:ODR woj. zachodniopomorskie'!J101)</f>
        <v>1</v>
      </c>
      <c r="K101" s="37">
        <f>SUM('dolnośląskie:ODR woj. zachodniopomorskie'!K101)</f>
        <v>0</v>
      </c>
      <c r="L101" s="37">
        <f>SUM('dolnośląskie:ODR woj. zachodniopomorskie'!L101)</f>
        <v>0</v>
      </c>
      <c r="M101" s="179">
        <f>SUM('dolnośląskie:ODR woj. zachodniopomorskie'!M101)+1</f>
        <v>21</v>
      </c>
      <c r="N101" s="199"/>
      <c r="O101" s="165"/>
      <c r="P101" s="165"/>
    </row>
    <row r="102" spans="1:16" ht="15.75" customHeight="1">
      <c r="A102" s="2733"/>
      <c r="B102" s="2700"/>
      <c r="C102" s="110">
        <v>2018</v>
      </c>
      <c r="D102" s="37"/>
      <c r="E102" s="38"/>
      <c r="F102" s="177"/>
      <c r="G102" s="178"/>
      <c r="H102" s="178"/>
      <c r="I102" s="178"/>
      <c r="J102" s="178"/>
      <c r="K102" s="178"/>
      <c r="L102" s="178"/>
      <c r="M102" s="179"/>
      <c r="N102" s="165"/>
      <c r="O102" s="165"/>
      <c r="P102" s="165"/>
    </row>
    <row r="103" spans="1:16" ht="14.25" customHeight="1">
      <c r="A103" s="2733"/>
      <c r="B103" s="2700"/>
      <c r="C103" s="110">
        <v>2019</v>
      </c>
      <c r="D103" s="37"/>
      <c r="E103" s="38"/>
      <c r="F103" s="177"/>
      <c r="G103" s="178"/>
      <c r="H103" s="178"/>
      <c r="I103" s="178"/>
      <c r="J103" s="178"/>
      <c r="K103" s="178"/>
      <c r="L103" s="178"/>
      <c r="M103" s="179"/>
      <c r="N103" s="165"/>
      <c r="O103" s="165"/>
      <c r="P103" s="165"/>
    </row>
    <row r="104" spans="1:16" ht="14.25" customHeight="1">
      <c r="A104" s="2733"/>
      <c r="B104" s="2700"/>
      <c r="C104" s="110">
        <v>2020</v>
      </c>
      <c r="D104" s="37"/>
      <c r="E104" s="38"/>
      <c r="F104" s="177"/>
      <c r="G104" s="178"/>
      <c r="H104" s="178"/>
      <c r="I104" s="178"/>
      <c r="J104" s="178"/>
      <c r="K104" s="178"/>
      <c r="L104" s="178"/>
      <c r="M104" s="179"/>
      <c r="N104" s="165"/>
      <c r="O104" s="165"/>
      <c r="P104" s="165"/>
    </row>
    <row r="105" spans="1:16" ht="19.5" customHeight="1" thickBot="1">
      <c r="A105" s="2702"/>
      <c r="B105" s="2734"/>
      <c r="C105" s="113" t="s">
        <v>13</v>
      </c>
      <c r="D105" s="139">
        <f>SUM(D98:D104)</f>
        <v>65</v>
      </c>
      <c r="E105" s="116">
        <f t="shared" ref="E105:K105" si="8">SUM(E98:E104)</f>
        <v>291</v>
      </c>
      <c r="F105" s="180">
        <f t="shared" si="8"/>
        <v>4</v>
      </c>
      <c r="G105" s="181">
        <f t="shared" si="8"/>
        <v>0</v>
      </c>
      <c r="H105" s="181">
        <f t="shared" si="8"/>
        <v>0</v>
      </c>
      <c r="I105" s="181">
        <f>SUM(I98:I104)</f>
        <v>2</v>
      </c>
      <c r="J105" s="181">
        <f t="shared" si="8"/>
        <v>3</v>
      </c>
      <c r="K105" s="181">
        <f t="shared" si="8"/>
        <v>0</v>
      </c>
      <c r="L105" s="181">
        <f>SUM(L98:L104)</f>
        <v>0</v>
      </c>
      <c r="M105" s="182">
        <f>SUM(M98:M104)</f>
        <v>56</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497" t="s">
        <v>77</v>
      </c>
      <c r="B107" s="2481" t="s">
        <v>179</v>
      </c>
      <c r="C107" s="2482" t="s">
        <v>9</v>
      </c>
      <c r="D107" s="2414" t="s">
        <v>78</v>
      </c>
      <c r="E107" s="1756" t="s">
        <v>79</v>
      </c>
      <c r="F107" s="1822"/>
      <c r="G107" s="1822"/>
      <c r="H107" s="1822"/>
      <c r="I107" s="1822"/>
      <c r="J107" s="1822"/>
      <c r="K107" s="1822"/>
      <c r="L107" s="1823"/>
      <c r="M107" s="185"/>
      <c r="N107" s="185"/>
    </row>
    <row r="108" spans="1:16" ht="103.5" customHeight="1">
      <c r="A108" s="273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2735"/>
      <c r="B109" s="1899"/>
      <c r="C109" s="106">
        <v>2014</v>
      </c>
      <c r="D109" s="31"/>
      <c r="E109" s="174"/>
      <c r="F109" s="175"/>
      <c r="G109" s="175"/>
      <c r="H109" s="175"/>
      <c r="I109" s="175"/>
      <c r="J109" s="175"/>
      <c r="K109" s="175"/>
      <c r="L109" s="176"/>
      <c r="M109" s="185"/>
      <c r="N109" s="185"/>
    </row>
    <row r="110" spans="1:16">
      <c r="A110" s="2736"/>
      <c r="B110" s="1899"/>
      <c r="C110" s="110">
        <v>2015</v>
      </c>
      <c r="D110" s="37">
        <f>SUM('dolnośląskie:ODR woj. zachodniopomorskie'!D110)</f>
        <v>26</v>
      </c>
      <c r="E110" s="177">
        <f>SUM('dolnośląskie:ODR woj. zachodniopomorskie'!E110)</f>
        <v>16</v>
      </c>
      <c r="F110" s="37">
        <f>SUM('dolnośląskie:ODR woj. zachodniopomorskie'!F110)</f>
        <v>0</v>
      </c>
      <c r="G110" s="37">
        <f>SUM('dolnośląskie:ODR woj. zachodniopomorskie'!G110)</f>
        <v>0</v>
      </c>
      <c r="H110" s="37">
        <f>SUM('dolnośląskie:ODR woj. zachodniopomorskie'!H110)</f>
        <v>0</v>
      </c>
      <c r="I110" s="37">
        <f>SUM('dolnośląskie:ODR woj. zachodniopomorskie'!I110)</f>
        <v>0</v>
      </c>
      <c r="J110" s="37">
        <f>SUM('dolnośląskie:ODR woj. zachodniopomorskie'!J110)</f>
        <v>0</v>
      </c>
      <c r="K110" s="37">
        <f>SUM('dolnośląskie:ODR woj. zachodniopomorskie'!K110)</f>
        <v>0</v>
      </c>
      <c r="L110" s="179">
        <f>SUM('dolnośląskie:ODR woj. zachodniopomorskie'!L110)</f>
        <v>10</v>
      </c>
      <c r="M110" s="185"/>
      <c r="N110" s="185"/>
    </row>
    <row r="111" spans="1:16">
      <c r="A111" s="2736"/>
      <c r="B111" s="1899"/>
      <c r="C111" s="110">
        <v>2016</v>
      </c>
      <c r="D111" s="37">
        <f>SUM('dolnośląskie:ODR woj. zachodniopomorskie'!D111)</f>
        <v>23</v>
      </c>
      <c r="E111" s="177">
        <f>SUM('dolnośląskie:ODR woj. zachodniopomorskie'!E111)</f>
        <v>18</v>
      </c>
      <c r="F111" s="37">
        <f>SUM('dolnośląskie:ODR woj. zachodniopomorskie'!F111)</f>
        <v>0</v>
      </c>
      <c r="G111" s="37">
        <f>SUM('dolnośląskie:ODR woj. zachodniopomorskie'!G111)</f>
        <v>0</v>
      </c>
      <c r="H111" s="37">
        <f>SUM('dolnośląskie:ODR woj. zachodniopomorskie'!H111)</f>
        <v>0</v>
      </c>
      <c r="I111" s="37">
        <f>SUM('dolnośląskie:ODR woj. zachodniopomorskie'!I111)</f>
        <v>1</v>
      </c>
      <c r="J111" s="37">
        <f>SUM('dolnośląskie:ODR woj. zachodniopomorskie'!J111)</f>
        <v>0</v>
      </c>
      <c r="K111" s="37">
        <f>SUM('dolnośląskie:ODR woj. zachodniopomorskie'!K111)</f>
        <v>0</v>
      </c>
      <c r="L111" s="179">
        <f>SUM('dolnośląskie:ODR woj. zachodniopomorskie'!L111)</f>
        <v>4</v>
      </c>
      <c r="M111" s="185"/>
      <c r="N111" s="185"/>
    </row>
    <row r="112" spans="1:16">
      <c r="A112" s="2736"/>
      <c r="B112" s="1899"/>
      <c r="C112" s="110">
        <v>2017</v>
      </c>
      <c r="D112" s="37">
        <f>SUM('dolnośląskie:ODR woj. zachodniopomorskie'!D112)</f>
        <v>363</v>
      </c>
      <c r="E112" s="177">
        <f>SUM('dolnośląskie:ODR woj. zachodniopomorskie'!E112)</f>
        <v>354</v>
      </c>
      <c r="F112" s="37">
        <f>SUM('dolnośląskie:ODR woj. zachodniopomorskie'!F112)</f>
        <v>0</v>
      </c>
      <c r="G112" s="37">
        <f>SUM('dolnośląskie:ODR woj. zachodniopomorskie'!G112)</f>
        <v>0</v>
      </c>
      <c r="H112" s="37">
        <f>SUM('dolnośląskie:ODR woj. zachodniopomorskie'!H112)</f>
        <v>0</v>
      </c>
      <c r="I112" s="37">
        <f>SUM('dolnośląskie:ODR woj. zachodniopomorskie'!I112)</f>
        <v>1</v>
      </c>
      <c r="J112" s="37">
        <f>SUM('dolnośląskie:ODR woj. zachodniopomorskie'!J112)</f>
        <v>0</v>
      </c>
      <c r="K112" s="37">
        <f>SUM('dolnośląskie:ODR woj. zachodniopomorskie'!K112)</f>
        <v>0</v>
      </c>
      <c r="L112" s="179">
        <f>SUM('dolnośląskie:ODR woj. zachodniopomorskie'!L112)</f>
        <v>8</v>
      </c>
      <c r="M112" s="185"/>
      <c r="N112" s="185"/>
    </row>
    <row r="113" spans="1:14">
      <c r="A113" s="2736"/>
      <c r="B113" s="1899"/>
      <c r="C113" s="110">
        <v>2018</v>
      </c>
      <c r="D113" s="38"/>
      <c r="E113" s="177"/>
      <c r="F113" s="178"/>
      <c r="G113" s="178"/>
      <c r="H113" s="178"/>
      <c r="I113" s="178"/>
      <c r="J113" s="178"/>
      <c r="K113" s="178"/>
      <c r="L113" s="179"/>
      <c r="M113" s="185"/>
      <c r="N113" s="185"/>
    </row>
    <row r="114" spans="1:14">
      <c r="A114" s="2736"/>
      <c r="B114" s="1899"/>
      <c r="C114" s="110">
        <v>2019</v>
      </c>
      <c r="D114" s="38"/>
      <c r="E114" s="177"/>
      <c r="F114" s="178"/>
      <c r="G114" s="178"/>
      <c r="H114" s="178"/>
      <c r="I114" s="178"/>
      <c r="J114" s="178"/>
      <c r="K114" s="178"/>
      <c r="L114" s="179"/>
      <c r="M114" s="185"/>
      <c r="N114" s="185"/>
    </row>
    <row r="115" spans="1:14">
      <c r="A115" s="2736"/>
      <c r="B115" s="1899"/>
      <c r="C115" s="110">
        <v>2020</v>
      </c>
      <c r="D115" s="38"/>
      <c r="E115" s="177"/>
      <c r="F115" s="178"/>
      <c r="G115" s="178"/>
      <c r="H115" s="178"/>
      <c r="I115" s="178"/>
      <c r="J115" s="178"/>
      <c r="K115" s="178"/>
      <c r="L115" s="179"/>
      <c r="M115" s="185"/>
      <c r="N115" s="185"/>
    </row>
    <row r="116" spans="1:14" ht="25.5" customHeight="1" thickBot="1">
      <c r="A116" s="1915"/>
      <c r="B116" s="2727"/>
      <c r="C116" s="113" t="s">
        <v>13</v>
      </c>
      <c r="D116" s="116">
        <f t="shared" ref="D116:I116" si="9">SUM(D109:D115)</f>
        <v>412</v>
      </c>
      <c r="E116" s="180">
        <f t="shared" si="9"/>
        <v>388</v>
      </c>
      <c r="F116" s="181">
        <f t="shared" si="9"/>
        <v>0</v>
      </c>
      <c r="G116" s="181">
        <f t="shared" si="9"/>
        <v>0</v>
      </c>
      <c r="H116" s="181">
        <f t="shared" si="9"/>
        <v>0</v>
      </c>
      <c r="I116" s="181">
        <f t="shared" si="9"/>
        <v>2</v>
      </c>
      <c r="J116" s="181"/>
      <c r="K116" s="181">
        <f>SUM(K109:K115)</f>
        <v>0</v>
      </c>
      <c r="L116" s="182">
        <f>SUM(L109:L115)</f>
        <v>22</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497" t="s">
        <v>81</v>
      </c>
      <c r="B118" s="2481" t="s">
        <v>179</v>
      </c>
      <c r="C118" s="2482" t="s">
        <v>9</v>
      </c>
      <c r="D118" s="2414" t="s">
        <v>82</v>
      </c>
      <c r="E118" s="1756" t="s">
        <v>79</v>
      </c>
      <c r="F118" s="1822"/>
      <c r="G118" s="1822"/>
      <c r="H118" s="1822"/>
      <c r="I118" s="1822"/>
      <c r="J118" s="1822"/>
      <c r="K118" s="1822"/>
      <c r="L118" s="1823"/>
      <c r="M118" s="185"/>
      <c r="N118" s="185"/>
    </row>
    <row r="119" spans="1:14" ht="120.75" customHeight="1">
      <c r="A119" s="273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2731"/>
      <c r="B120" s="2697"/>
      <c r="C120" s="106">
        <v>2014</v>
      </c>
      <c r="D120" s="31"/>
      <c r="E120" s="174"/>
      <c r="F120" s="175"/>
      <c r="G120" s="175"/>
      <c r="H120" s="175"/>
      <c r="I120" s="175"/>
      <c r="J120" s="175"/>
      <c r="K120" s="175"/>
      <c r="L120" s="176"/>
      <c r="M120" s="185"/>
      <c r="N120" s="185"/>
    </row>
    <row r="121" spans="1:14">
      <c r="A121" s="2726"/>
      <c r="B121" s="2697"/>
      <c r="C121" s="110">
        <v>2015</v>
      </c>
      <c r="D121" s="37">
        <f>SUM('dolnośląskie:ODR woj. zachodniopomorskie'!D121)</f>
        <v>0</v>
      </c>
      <c r="E121" s="177"/>
      <c r="F121" s="111"/>
      <c r="G121" s="111"/>
      <c r="H121" s="111"/>
      <c r="I121" s="111"/>
      <c r="J121" s="111"/>
      <c r="K121" s="111"/>
      <c r="L121" s="179"/>
      <c r="M121" s="185"/>
      <c r="N121" s="185"/>
    </row>
    <row r="122" spans="1:14">
      <c r="A122" s="2726"/>
      <c r="B122" s="2697"/>
      <c r="C122" s="110">
        <v>2016</v>
      </c>
      <c r="D122" s="37">
        <f>SUM('dolnośląskie:ODR woj. zachodniopomorskie'!D122)</f>
        <v>10</v>
      </c>
      <c r="E122" s="177">
        <f>SUM('dolnośląskie:ODR woj. zachodniopomorskie'!E122)</f>
        <v>3</v>
      </c>
      <c r="F122" s="37">
        <f>SUM('dolnośląskie:ODR woj. zachodniopomorskie'!F122)</f>
        <v>0</v>
      </c>
      <c r="G122" s="37">
        <f>SUM('dolnośląskie:ODR woj. zachodniopomorskie'!G122)</f>
        <v>0</v>
      </c>
      <c r="H122" s="37">
        <f>SUM('dolnośląskie:ODR woj. zachodniopomorskie'!H122)</f>
        <v>0</v>
      </c>
      <c r="I122" s="37">
        <f>SUM('dolnośląskie:ODR woj. zachodniopomorskie'!I122)</f>
        <v>1</v>
      </c>
      <c r="J122" s="37">
        <f>SUM('dolnośląskie:ODR woj. zachodniopomorskie'!J122)</f>
        <v>0</v>
      </c>
      <c r="K122" s="37">
        <f>SUM('dolnośląskie:ODR woj. zachodniopomorskie'!K122)</f>
        <v>0</v>
      </c>
      <c r="L122" s="179">
        <f>SUM('dolnośląskie:ODR woj. zachodniopomorskie'!L122)</f>
        <v>6</v>
      </c>
      <c r="M122" s="185"/>
      <c r="N122" s="185"/>
    </row>
    <row r="123" spans="1:14">
      <c r="A123" s="2726"/>
      <c r="B123" s="2697"/>
      <c r="C123" s="110">
        <v>2017</v>
      </c>
      <c r="D123" s="37">
        <f>SUM('dolnośląskie:ODR woj. zachodniopomorskie'!D123)</f>
        <v>9</v>
      </c>
      <c r="E123" s="177">
        <f>SUM('dolnośląskie:ODR woj. zachodniopomorskie'!E123)</f>
        <v>1</v>
      </c>
      <c r="F123" s="37">
        <f>SUM('dolnośląskie:ODR woj. zachodniopomorskie'!F123)</f>
        <v>0</v>
      </c>
      <c r="G123" s="37">
        <f>SUM('dolnośląskie:ODR woj. zachodniopomorskie'!G123)</f>
        <v>0</v>
      </c>
      <c r="H123" s="37">
        <f>SUM('dolnośląskie:ODR woj. zachodniopomorskie'!H123)</f>
        <v>0</v>
      </c>
      <c r="I123" s="37">
        <f>SUM('dolnośląskie:ODR woj. zachodniopomorskie'!I123)</f>
        <v>1</v>
      </c>
      <c r="J123" s="37">
        <f>SUM('dolnośląskie:ODR woj. zachodniopomorskie'!J123)</f>
        <v>0</v>
      </c>
      <c r="K123" s="37">
        <f>SUM('dolnośląskie:ODR woj. zachodniopomorskie'!K123)</f>
        <v>0</v>
      </c>
      <c r="L123" s="179">
        <f>SUM('dolnośląskie:ODR woj. zachodniopomorskie'!L123)</f>
        <v>7</v>
      </c>
      <c r="M123" s="185"/>
      <c r="N123" s="185"/>
    </row>
    <row r="124" spans="1:14">
      <c r="A124" s="2726"/>
      <c r="B124" s="2697"/>
      <c r="C124" s="110">
        <v>2018</v>
      </c>
      <c r="D124" s="38"/>
      <c r="E124" s="177"/>
      <c r="F124" s="178"/>
      <c r="G124" s="178"/>
      <c r="H124" s="178"/>
      <c r="I124" s="178"/>
      <c r="J124" s="178"/>
      <c r="K124" s="178"/>
      <c r="L124" s="179"/>
      <c r="M124" s="185"/>
      <c r="N124" s="185"/>
    </row>
    <row r="125" spans="1:14">
      <c r="A125" s="2726"/>
      <c r="B125" s="2697"/>
      <c r="C125" s="110">
        <v>2019</v>
      </c>
      <c r="D125" s="38"/>
      <c r="E125" s="177"/>
      <c r="F125" s="178"/>
      <c r="G125" s="178"/>
      <c r="H125" s="178"/>
      <c r="I125" s="178"/>
      <c r="J125" s="178"/>
      <c r="K125" s="178"/>
      <c r="L125" s="179"/>
      <c r="M125" s="185"/>
      <c r="N125" s="185"/>
    </row>
    <row r="126" spans="1:14">
      <c r="A126" s="2726"/>
      <c r="B126" s="2697"/>
      <c r="C126" s="110">
        <v>2020</v>
      </c>
      <c r="D126" s="38"/>
      <c r="E126" s="177"/>
      <c r="F126" s="178"/>
      <c r="G126" s="178"/>
      <c r="H126" s="178"/>
      <c r="I126" s="178"/>
      <c r="J126" s="178"/>
      <c r="K126" s="178"/>
      <c r="L126" s="179"/>
      <c r="M126" s="185"/>
      <c r="N126" s="185"/>
    </row>
    <row r="127" spans="1:14" ht="15.75" thickBot="1">
      <c r="A127" s="2595"/>
      <c r="B127" s="2729"/>
      <c r="C127" s="113" t="s">
        <v>13</v>
      </c>
      <c r="D127" s="116">
        <f t="shared" ref="D127:I127" si="10">SUM(D120:D126)</f>
        <v>19</v>
      </c>
      <c r="E127" s="180">
        <f t="shared" si="10"/>
        <v>4</v>
      </c>
      <c r="F127" s="181">
        <f t="shared" si="10"/>
        <v>0</v>
      </c>
      <c r="G127" s="181">
        <f t="shared" si="10"/>
        <v>0</v>
      </c>
      <c r="H127" s="181">
        <f t="shared" si="10"/>
        <v>0</v>
      </c>
      <c r="I127" s="181">
        <f t="shared" si="10"/>
        <v>2</v>
      </c>
      <c r="J127" s="181"/>
      <c r="K127" s="181">
        <f>SUM(K120:K126)</f>
        <v>0</v>
      </c>
      <c r="L127" s="182">
        <f>SUM(L120:L126)</f>
        <v>13</v>
      </c>
      <c r="M127" s="185"/>
      <c r="N127" s="185"/>
    </row>
    <row r="128" spans="1:14" ht="15.75" thickBot="1">
      <c r="A128" s="183"/>
      <c r="B128" s="183"/>
      <c r="C128" s="184"/>
      <c r="D128" s="7"/>
      <c r="E128" s="7"/>
      <c r="H128" s="185"/>
      <c r="I128" s="185"/>
      <c r="J128" s="185"/>
      <c r="K128" s="185"/>
      <c r="L128" s="185"/>
      <c r="M128" s="185"/>
      <c r="N128" s="185"/>
    </row>
    <row r="129" spans="1:16" ht="15" customHeight="1">
      <c r="A129" s="2497" t="s">
        <v>84</v>
      </c>
      <c r="B129" s="2481" t="s">
        <v>179</v>
      </c>
      <c r="C129" s="1824" t="s">
        <v>9</v>
      </c>
      <c r="D129" s="1758" t="s">
        <v>85</v>
      </c>
      <c r="E129" s="1825"/>
      <c r="F129" s="1825"/>
      <c r="G129" s="1759"/>
      <c r="H129" s="185"/>
      <c r="I129" s="185"/>
      <c r="J129" s="185"/>
      <c r="K129" s="185"/>
      <c r="L129" s="185"/>
      <c r="M129" s="185"/>
      <c r="N129" s="185"/>
    </row>
    <row r="130" spans="1:16" ht="77.25" customHeight="1">
      <c r="A130" s="2730"/>
      <c r="B130" s="1912"/>
      <c r="C130" s="1807"/>
      <c r="D130" s="166" t="s">
        <v>86</v>
      </c>
      <c r="E130" s="193" t="s">
        <v>87</v>
      </c>
      <c r="F130" s="167" t="s">
        <v>88</v>
      </c>
      <c r="G130" s="194" t="s">
        <v>13</v>
      </c>
      <c r="H130" s="185"/>
      <c r="I130" s="185"/>
      <c r="J130" s="185"/>
      <c r="K130" s="185"/>
      <c r="L130" s="185"/>
      <c r="M130" s="185"/>
      <c r="N130" s="185"/>
    </row>
    <row r="131" spans="1:16" ht="15" customHeight="1">
      <c r="A131" s="2738"/>
      <c r="B131" s="2032"/>
      <c r="C131" s="1510">
        <v>2015</v>
      </c>
      <c r="D131" s="37">
        <f>SUM('dolnośląskie:ODR woj. zachodniopomorskie'!D131)</f>
        <v>507</v>
      </c>
      <c r="E131" s="37">
        <f>SUM('dolnośląskie:ODR woj. zachodniopomorskie'!E131)</f>
        <v>519</v>
      </c>
      <c r="F131" s="37">
        <f>SUM('dolnośląskie:ODR woj. zachodniopomorskie'!F131)</f>
        <v>0</v>
      </c>
      <c r="G131" s="195">
        <f t="shared" ref="G131:G136" si="11">SUM(D131:F131)</f>
        <v>1026</v>
      </c>
      <c r="H131" s="185"/>
      <c r="I131" s="185"/>
      <c r="J131" s="185"/>
      <c r="K131" s="185"/>
      <c r="L131" s="185"/>
      <c r="M131" s="185"/>
      <c r="N131" s="185"/>
    </row>
    <row r="132" spans="1:16">
      <c r="A132" s="2718"/>
      <c r="B132" s="2032"/>
      <c r="C132" s="110">
        <v>2016</v>
      </c>
      <c r="D132" s="37">
        <f>SUM('dolnośląskie:ODR woj. zachodniopomorskie'!D132)</f>
        <v>1713</v>
      </c>
      <c r="E132" s="37">
        <f>SUM('dolnośląskie:ODR woj. zachodniopomorskie'!E132)</f>
        <v>138</v>
      </c>
      <c r="F132" s="37">
        <f>SUM('dolnośląskie:ODR woj. zachodniopomorskie'!F132)</f>
        <v>1742</v>
      </c>
      <c r="G132" s="195">
        <f>SUM(D132:F132)</f>
        <v>3593</v>
      </c>
      <c r="H132" s="185"/>
      <c r="I132" s="185"/>
      <c r="J132" s="185"/>
      <c r="K132" s="185"/>
      <c r="L132" s="185"/>
      <c r="M132" s="185"/>
      <c r="N132" s="185"/>
    </row>
    <row r="133" spans="1:16">
      <c r="A133" s="2718"/>
      <c r="B133" s="2032"/>
      <c r="C133" s="110">
        <v>2017</v>
      </c>
      <c r="D133" s="37">
        <f>SUM('dolnośląskie:ODR woj. zachodniopomorskie'!D133)</f>
        <v>1687</v>
      </c>
      <c r="E133" s="37">
        <f>SUM('dolnośląskie:ODR woj. zachodniopomorskie'!E133)</f>
        <v>419</v>
      </c>
      <c r="F133" s="37">
        <f>SUM('dolnośląskie:ODR woj. zachodniopomorskie'!F133)</f>
        <v>1516</v>
      </c>
      <c r="G133" s="195">
        <f>SUM(D133:F133)</f>
        <v>3622</v>
      </c>
      <c r="H133" s="185"/>
      <c r="I133" s="185"/>
      <c r="J133" s="185"/>
      <c r="K133" s="185"/>
      <c r="L133" s="185"/>
      <c r="M133" s="185"/>
      <c r="N133" s="185"/>
    </row>
    <row r="134" spans="1:16">
      <c r="A134" s="2718"/>
      <c r="B134" s="2032"/>
      <c r="C134" s="110">
        <v>2018</v>
      </c>
      <c r="D134" s="37"/>
      <c r="E134" s="38"/>
      <c r="F134" s="38"/>
      <c r="G134" s="195">
        <f t="shared" si="11"/>
        <v>0</v>
      </c>
      <c r="H134" s="185"/>
      <c r="I134" s="185"/>
      <c r="J134" s="185"/>
      <c r="K134" s="185"/>
      <c r="L134" s="185"/>
      <c r="M134" s="185"/>
      <c r="N134" s="185"/>
    </row>
    <row r="135" spans="1:16">
      <c r="A135" s="2718"/>
      <c r="B135" s="2032"/>
      <c r="C135" s="110">
        <v>2019</v>
      </c>
      <c r="D135" s="37"/>
      <c r="E135" s="38"/>
      <c r="F135" s="38"/>
      <c r="G135" s="195">
        <f t="shared" si="11"/>
        <v>0</v>
      </c>
      <c r="H135" s="185"/>
      <c r="I135" s="185"/>
      <c r="J135" s="185"/>
      <c r="K135" s="185"/>
      <c r="L135" s="185"/>
      <c r="M135" s="185"/>
      <c r="N135" s="185"/>
    </row>
    <row r="136" spans="1:16">
      <c r="A136" s="2718"/>
      <c r="B136" s="2032"/>
      <c r="C136" s="110">
        <v>2020</v>
      </c>
      <c r="D136" s="37"/>
      <c r="E136" s="38"/>
      <c r="F136" s="38"/>
      <c r="G136" s="195">
        <f t="shared" si="11"/>
        <v>0</v>
      </c>
      <c r="H136" s="185"/>
      <c r="I136" s="185"/>
      <c r="J136" s="185"/>
      <c r="K136" s="185"/>
      <c r="L136" s="185"/>
      <c r="M136" s="185"/>
      <c r="N136" s="185"/>
    </row>
    <row r="137" spans="1:16" ht="17.25" customHeight="1" thickBot="1">
      <c r="A137" s="2612"/>
      <c r="B137" s="2719"/>
      <c r="C137" s="113" t="s">
        <v>13</v>
      </c>
      <c r="D137" s="139">
        <f>SUM(D131:D136)</f>
        <v>3907</v>
      </c>
      <c r="E137" s="139">
        <f t="shared" ref="E137:F137" si="12">SUM(E131:E136)</f>
        <v>1076</v>
      </c>
      <c r="F137" s="139">
        <f t="shared" si="12"/>
        <v>3258</v>
      </c>
      <c r="G137" s="196">
        <f>SUM(G131:G136)</f>
        <v>8241</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500" t="s">
        <v>91</v>
      </c>
      <c r="B142" s="2479" t="s">
        <v>179</v>
      </c>
      <c r="C142" s="2484" t="s">
        <v>9</v>
      </c>
      <c r="D142" s="1826" t="s">
        <v>92</v>
      </c>
      <c r="E142" s="1827"/>
      <c r="F142" s="1827"/>
      <c r="G142" s="1827"/>
      <c r="H142" s="1827"/>
      <c r="I142" s="1828"/>
      <c r="J142" s="2475" t="s">
        <v>93</v>
      </c>
      <c r="K142" s="2476"/>
      <c r="L142" s="2476"/>
      <c r="M142" s="2476"/>
      <c r="N142" s="2477"/>
      <c r="O142" s="165"/>
      <c r="P142" s="165"/>
    </row>
    <row r="143" spans="1:16" ht="113.25" customHeight="1">
      <c r="A143" s="2739"/>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2737"/>
      <c r="B144" s="1899"/>
      <c r="C144" s="106">
        <v>2014</v>
      </c>
      <c r="D144" s="30"/>
      <c r="E144" s="30"/>
      <c r="F144" s="31"/>
      <c r="G144" s="175"/>
      <c r="H144" s="175"/>
      <c r="I144" s="213">
        <f>D144+F144+G144+H144</f>
        <v>0</v>
      </c>
      <c r="J144" s="214"/>
      <c r="K144" s="215"/>
      <c r="L144" s="214"/>
      <c r="M144" s="215"/>
      <c r="N144" s="216"/>
      <c r="O144" s="165"/>
      <c r="P144" s="165"/>
    </row>
    <row r="145" spans="1:16" ht="19.5" customHeight="1">
      <c r="A145" s="2736"/>
      <c r="B145" s="1899"/>
      <c r="C145" s="110">
        <v>2015</v>
      </c>
      <c r="D145" s="37">
        <f>SUM('dolnośląskie:ODR woj. zachodniopomorskie'!D145)</f>
        <v>4</v>
      </c>
      <c r="E145" s="37">
        <f>SUM('dolnośląskie:ODR woj. zachodniopomorskie'!E145)</f>
        <v>2</v>
      </c>
      <c r="F145" s="37">
        <f>SUM('dolnośląskie:ODR woj. zachodniopomorskie'!F145)</f>
        <v>4</v>
      </c>
      <c r="G145" s="37">
        <f>SUM('dolnośląskie:ODR woj. zachodniopomorskie'!G145)</f>
        <v>3</v>
      </c>
      <c r="H145" s="37">
        <f>SUM('dolnośląskie:ODR woj. zachodniopomorskie'!H145)</f>
        <v>2</v>
      </c>
      <c r="I145" s="213">
        <f t="shared" ref="I145:I150" si="13">D145+F145+G145+H145</f>
        <v>13</v>
      </c>
      <c r="J145" s="37">
        <f>SUM('dolnośląskie:ODR woj. zachodniopomorskie'!J145)</f>
        <v>5</v>
      </c>
      <c r="K145" s="218">
        <f>SUM('dolnośląskie:ODR woj. zachodniopomorskie'!K145)</f>
        <v>1</v>
      </c>
      <c r="L145" s="37">
        <f>SUM('dolnośląskie:ODR woj. zachodniopomorskie'!L145)</f>
        <v>0</v>
      </c>
      <c r="M145" s="218">
        <f>SUM('dolnośląskie:ODR woj. zachodniopomorskie'!M145)</f>
        <v>0</v>
      </c>
      <c r="N145" s="219">
        <f>SUM('dolnośląskie:ODR woj. zachodniopomorskie'!N145)</f>
        <v>0</v>
      </c>
      <c r="O145" s="165"/>
      <c r="P145" s="165"/>
    </row>
    <row r="146" spans="1:16" ht="20.25" customHeight="1">
      <c r="A146" s="2736"/>
      <c r="B146" s="1899"/>
      <c r="C146" s="110">
        <v>2016</v>
      </c>
      <c r="D146" s="37">
        <f>SUM('dolnośląskie:ODR woj. zachodniopomorskie'!D146)</f>
        <v>8</v>
      </c>
      <c r="E146" s="37">
        <f>SUM('dolnośląskie:ODR woj. zachodniopomorskie'!E146)</f>
        <v>14</v>
      </c>
      <c r="F146" s="37">
        <f>SUM('dolnośląskie:ODR woj. zachodniopomorskie'!F146)</f>
        <v>8</v>
      </c>
      <c r="G146" s="37">
        <f>SUM('dolnośląskie:ODR woj. zachodniopomorskie'!G146)</f>
        <v>20</v>
      </c>
      <c r="H146" s="37">
        <f>SUM('dolnośląskie:ODR woj. zachodniopomorskie'!H146)</f>
        <v>4</v>
      </c>
      <c r="I146" s="213">
        <f>D146+F146+G146+H146</f>
        <v>40</v>
      </c>
      <c r="J146" s="37">
        <f>SUM('dolnośląskie:ODR woj. zachodniopomorskie'!J146)</f>
        <v>32</v>
      </c>
      <c r="K146" s="218">
        <f>SUM('dolnośląskie:ODR woj. zachodniopomorskie'!K146)</f>
        <v>5</v>
      </c>
      <c r="L146" s="37">
        <f>SUM('dolnośląskie:ODR woj. zachodniopomorskie'!L146)</f>
        <v>1</v>
      </c>
      <c r="M146" s="218">
        <f>SUM('dolnośląskie:ODR woj. zachodniopomorskie'!M146)</f>
        <v>0</v>
      </c>
      <c r="N146" s="219">
        <f>SUM('dolnośląskie:ODR woj. zachodniopomorskie'!N146)</f>
        <v>4</v>
      </c>
      <c r="O146" s="165"/>
      <c r="P146" s="165"/>
    </row>
    <row r="147" spans="1:16" ht="17.25" customHeight="1">
      <c r="A147" s="2736"/>
      <c r="B147" s="1899"/>
      <c r="C147" s="110">
        <v>2017</v>
      </c>
      <c r="D147" s="37">
        <f>SUM('dolnośląskie:ODR woj. zachodniopomorskie'!D147)</f>
        <v>7</v>
      </c>
      <c r="E147" s="37">
        <f>SUM('dolnośląskie:ODR woj. zachodniopomorskie'!E147)</f>
        <v>11</v>
      </c>
      <c r="F147" s="37">
        <f>SUM('dolnośląskie:ODR woj. zachodniopomorskie'!F147)</f>
        <v>3</v>
      </c>
      <c r="G147" s="37">
        <f>SUM('dolnośląskie:ODR woj. zachodniopomorskie'!G147)</f>
        <v>5</v>
      </c>
      <c r="H147" s="37">
        <f>SUM('dolnośląskie:ODR woj. zachodniopomorskie'!H147)</f>
        <v>1</v>
      </c>
      <c r="I147" s="213">
        <f>D147+F147+G147+H147</f>
        <v>16</v>
      </c>
      <c r="J147" s="37">
        <f>SUM('dolnośląskie:ODR woj. zachodniopomorskie'!J147)</f>
        <v>11</v>
      </c>
      <c r="K147" s="218">
        <f>SUM('dolnośląskie:ODR woj. zachodniopomorskie'!K147)</f>
        <v>3</v>
      </c>
      <c r="L147" s="37">
        <f>SUM('dolnośląskie:ODR woj. zachodniopomorskie'!L147)</f>
        <v>1</v>
      </c>
      <c r="M147" s="218">
        <f>SUM('dolnośląskie:ODR woj. zachodniopomorskie'!M147)</f>
        <v>1</v>
      </c>
      <c r="N147" s="219">
        <f>SUM('dolnośląskie:ODR woj. zachodniopomorskie'!N147)</f>
        <v>3</v>
      </c>
      <c r="O147" s="165"/>
      <c r="P147" s="165"/>
    </row>
    <row r="148" spans="1:16" ht="19.5" customHeight="1">
      <c r="A148" s="2736"/>
      <c r="B148" s="1899"/>
      <c r="C148" s="110">
        <v>2018</v>
      </c>
      <c r="D148" s="37"/>
      <c r="E148" s="37"/>
      <c r="F148" s="38"/>
      <c r="G148" s="178"/>
      <c r="H148" s="178"/>
      <c r="I148" s="213">
        <f t="shared" si="13"/>
        <v>0</v>
      </c>
      <c r="J148" s="217"/>
      <c r="K148" s="218"/>
      <c r="L148" s="217"/>
      <c r="M148" s="218"/>
      <c r="N148" s="219"/>
      <c r="O148" s="165"/>
      <c r="P148" s="165"/>
    </row>
    <row r="149" spans="1:16" ht="19.5" customHeight="1">
      <c r="A149" s="2736"/>
      <c r="B149" s="1899"/>
      <c r="C149" s="110">
        <v>2019</v>
      </c>
      <c r="D149" s="37"/>
      <c r="E149" s="37"/>
      <c r="F149" s="38"/>
      <c r="G149" s="178"/>
      <c r="H149" s="178"/>
      <c r="I149" s="213">
        <f t="shared" si="13"/>
        <v>0</v>
      </c>
      <c r="J149" s="217"/>
      <c r="K149" s="218"/>
      <c r="L149" s="217"/>
      <c r="M149" s="218"/>
      <c r="N149" s="219"/>
      <c r="O149" s="165"/>
      <c r="P149" s="165"/>
    </row>
    <row r="150" spans="1:16" ht="18.75" customHeight="1">
      <c r="A150" s="2736"/>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2727"/>
      <c r="C151" s="113" t="s">
        <v>13</v>
      </c>
      <c r="D151" s="139">
        <f>SUM(D144:D150)</f>
        <v>19</v>
      </c>
      <c r="E151" s="139">
        <f t="shared" ref="E151:I151" si="14">SUM(E144:E150)</f>
        <v>27</v>
      </c>
      <c r="F151" s="139">
        <f t="shared" si="14"/>
        <v>15</v>
      </c>
      <c r="G151" s="139">
        <f t="shared" si="14"/>
        <v>28</v>
      </c>
      <c r="H151" s="139">
        <f t="shared" si="14"/>
        <v>7</v>
      </c>
      <c r="I151" s="220">
        <f t="shared" si="14"/>
        <v>69</v>
      </c>
      <c r="J151" s="221">
        <f>SUM(J144:J150)</f>
        <v>48</v>
      </c>
      <c r="K151" s="222">
        <f>SUM(K144:K150)</f>
        <v>9</v>
      </c>
      <c r="L151" s="221">
        <f>SUM(L144:L150)</f>
        <v>2</v>
      </c>
      <c r="M151" s="222">
        <f>SUM(M144:M150)</f>
        <v>1</v>
      </c>
      <c r="N151" s="223">
        <f>SUM(N144:N150)</f>
        <v>7</v>
      </c>
      <c r="O151" s="165"/>
      <c r="P151" s="165"/>
    </row>
    <row r="152" spans="1:16" ht="27" customHeight="1" thickBot="1">
      <c r="B152" s="224"/>
      <c r="O152" s="165"/>
      <c r="P152" s="165"/>
    </row>
    <row r="153" spans="1:16" ht="35.25" customHeight="1">
      <c r="A153" s="2501" t="s">
        <v>105</v>
      </c>
      <c r="B153" s="2479" t="s">
        <v>179</v>
      </c>
      <c r="C153" s="2480" t="s">
        <v>9</v>
      </c>
      <c r="D153" s="1829" t="s">
        <v>106</v>
      </c>
      <c r="E153" s="1829"/>
      <c r="F153" s="1830"/>
      <c r="G153" s="1830"/>
      <c r="H153" s="1829" t="s">
        <v>107</v>
      </c>
      <c r="I153" s="1829"/>
      <c r="J153" s="1831"/>
      <c r="K153" s="56"/>
      <c r="L153" s="56"/>
      <c r="M153" s="56"/>
      <c r="N153" s="56"/>
      <c r="O153" s="165"/>
      <c r="P153" s="165"/>
    </row>
    <row r="154" spans="1:16" ht="49.5" customHeight="1">
      <c r="A154" s="2740"/>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2737"/>
      <c r="B155" s="1899"/>
      <c r="C155" s="233">
        <v>2014</v>
      </c>
      <c r="D155" s="214"/>
      <c r="E155" s="175"/>
      <c r="F155" s="215"/>
      <c r="G155" s="213">
        <f>SUM(D155:F155)</f>
        <v>0</v>
      </c>
      <c r="H155" s="214"/>
      <c r="I155" s="175"/>
      <c r="J155" s="176"/>
      <c r="O155" s="165"/>
      <c r="P155" s="165"/>
    </row>
    <row r="156" spans="1:16" ht="19.5" customHeight="1">
      <c r="A156" s="2736"/>
      <c r="B156" s="1899"/>
      <c r="C156" s="234">
        <v>2015</v>
      </c>
      <c r="D156" s="37">
        <f>SUM('dolnośląskie:ODR woj. zachodniopomorskie'!D156)</f>
        <v>0</v>
      </c>
      <c r="E156" s="37">
        <f>SUM('dolnośląskie:ODR woj. zachodniopomorskie'!E156)</f>
        <v>0</v>
      </c>
      <c r="F156" s="218">
        <f>SUM('dolnośląskie:ODR woj. zachodniopomorskie'!F156)</f>
        <v>0</v>
      </c>
      <c r="G156" s="213">
        <f t="shared" ref="G156:G161" si="15">SUM(D156:F156)</f>
        <v>0</v>
      </c>
      <c r="H156" s="37">
        <f>SUM('dolnośląskie:ODR woj. zachodniopomorskie'!H156)</f>
        <v>0</v>
      </c>
      <c r="I156" s="37">
        <f>SUM('dolnośląskie:ODR woj. zachodniopomorskie'!I156)</f>
        <v>0</v>
      </c>
      <c r="J156" s="179">
        <f>SUM('dolnośląskie:ODR woj. zachodniopomorskie'!J156)</f>
        <v>0</v>
      </c>
      <c r="O156" s="165"/>
      <c r="P156" s="165"/>
    </row>
    <row r="157" spans="1:16" ht="17.25" customHeight="1">
      <c r="A157" s="2736"/>
      <c r="B157" s="1899"/>
      <c r="C157" s="234">
        <v>2016</v>
      </c>
      <c r="D157" s="37">
        <f>SUM('dolnośląskie:ODR woj. zachodniopomorskie'!D157)</f>
        <v>3</v>
      </c>
      <c r="E157" s="37">
        <f>SUM('dolnośląskie:ODR woj. zachodniopomorskie'!E157)</f>
        <v>0</v>
      </c>
      <c r="F157" s="218">
        <f>SUM('dolnośląskie:ODR woj. zachodniopomorskie'!F157)</f>
        <v>0</v>
      </c>
      <c r="G157" s="213">
        <f>SUM(D157:F157)</f>
        <v>3</v>
      </c>
      <c r="H157" s="37">
        <f>SUM('dolnośląskie:ODR woj. zachodniopomorskie'!H157)</f>
        <v>2</v>
      </c>
      <c r="I157" s="37">
        <f>SUM('dolnośląskie:ODR woj. zachodniopomorskie'!I157)</f>
        <v>0</v>
      </c>
      <c r="J157" s="179">
        <f>SUM('dolnośląskie:ODR woj. zachodniopomorskie'!J157)</f>
        <v>1</v>
      </c>
      <c r="O157" s="165"/>
      <c r="P157" s="165"/>
    </row>
    <row r="158" spans="1:16" ht="15" customHeight="1">
      <c r="A158" s="2736"/>
      <c r="B158" s="1899"/>
      <c r="C158" s="234">
        <v>2017</v>
      </c>
      <c r="D158" s="37">
        <f>SUM('dolnośląskie:ODR woj. zachodniopomorskie'!D158)</f>
        <v>1</v>
      </c>
      <c r="E158" s="37">
        <f>SUM('dolnośląskie:ODR woj. zachodniopomorskie'!E158)</f>
        <v>10</v>
      </c>
      <c r="F158" s="218">
        <f>SUM('dolnośląskie:ODR woj. zachodniopomorskie'!F158)</f>
        <v>6</v>
      </c>
      <c r="G158" s="213">
        <f>SUM(D158:F158)</f>
        <v>17</v>
      </c>
      <c r="H158" s="37">
        <f>SUM('dolnośląskie:ODR woj. zachodniopomorskie'!H158)</f>
        <v>16</v>
      </c>
      <c r="I158" s="37">
        <f>SUM('dolnośląskie:ODR woj. zachodniopomorskie'!I158)</f>
        <v>1</v>
      </c>
      <c r="J158" s="179">
        <f>SUM('dolnośląskie:ODR woj. zachodniopomorskie'!J158)</f>
        <v>0</v>
      </c>
      <c r="O158" s="165"/>
      <c r="P158" s="165"/>
    </row>
    <row r="159" spans="1:16" ht="19.5" customHeight="1">
      <c r="A159" s="2736"/>
      <c r="B159" s="1899"/>
      <c r="C159" s="234">
        <v>2018</v>
      </c>
      <c r="D159" s="217"/>
      <c r="E159" s="178"/>
      <c r="F159" s="218"/>
      <c r="G159" s="213">
        <f t="shared" si="15"/>
        <v>0</v>
      </c>
      <c r="H159" s="217"/>
      <c r="I159" s="178"/>
      <c r="J159" s="179"/>
      <c r="O159" s="165"/>
      <c r="P159" s="165"/>
    </row>
    <row r="160" spans="1:16" ht="15" customHeight="1">
      <c r="A160" s="2736"/>
      <c r="B160" s="1899"/>
      <c r="C160" s="234">
        <v>2019</v>
      </c>
      <c r="D160" s="217"/>
      <c r="E160" s="178"/>
      <c r="F160" s="218"/>
      <c r="G160" s="213">
        <f t="shared" si="15"/>
        <v>0</v>
      </c>
      <c r="H160" s="217"/>
      <c r="I160" s="178"/>
      <c r="J160" s="179"/>
      <c r="O160" s="165"/>
      <c r="P160" s="165"/>
    </row>
    <row r="161" spans="1:18" ht="17.25" customHeight="1">
      <c r="A161" s="2736"/>
      <c r="B161" s="1899"/>
      <c r="C161" s="234">
        <v>2020</v>
      </c>
      <c r="D161" s="217"/>
      <c r="E161" s="178"/>
      <c r="F161" s="218"/>
      <c r="G161" s="213">
        <f t="shared" si="15"/>
        <v>0</v>
      </c>
      <c r="H161" s="217"/>
      <c r="I161" s="178"/>
      <c r="J161" s="179"/>
      <c r="O161" s="165"/>
      <c r="P161" s="165"/>
    </row>
    <row r="162" spans="1:18" ht="15.75" thickBot="1">
      <c r="A162" s="1893"/>
      <c r="B162" s="2727"/>
      <c r="C162" s="235" t="s">
        <v>13</v>
      </c>
      <c r="D162" s="221">
        <f t="shared" ref="D162:F162" si="16">SUM(D155:D161)</f>
        <v>4</v>
      </c>
      <c r="E162" s="181">
        <f t="shared" si="16"/>
        <v>10</v>
      </c>
      <c r="F162" s="222">
        <f t="shared" si="16"/>
        <v>6</v>
      </c>
      <c r="G162" s="222">
        <f>SUM(G155:G161)</f>
        <v>20</v>
      </c>
      <c r="H162" s="221">
        <f>SUM(H155:H161)</f>
        <v>18</v>
      </c>
      <c r="I162" s="181">
        <f>SUM(I155:I161)</f>
        <v>1</v>
      </c>
      <c r="J162" s="236">
        <f>SUM(J155:J161)</f>
        <v>1</v>
      </c>
    </row>
    <row r="163" spans="1:18" ht="24.75" customHeight="1" thickBot="1">
      <c r="A163" s="237"/>
      <c r="B163" s="238"/>
      <c r="C163" s="239"/>
      <c r="D163" s="165"/>
      <c r="E163" s="1832"/>
      <c r="F163" s="165"/>
      <c r="G163" s="165"/>
      <c r="H163" s="165"/>
      <c r="I163" s="165"/>
      <c r="J163" s="241"/>
      <c r="K163" s="1848"/>
    </row>
    <row r="164" spans="1:18" ht="95.25" customHeight="1">
      <c r="A164" s="1760" t="s">
        <v>115</v>
      </c>
      <c r="B164" s="405" t="s">
        <v>181</v>
      </c>
      <c r="C164" s="1567" t="s">
        <v>9</v>
      </c>
      <c r="D164" s="246" t="s">
        <v>117</v>
      </c>
      <c r="E164" s="246" t="s">
        <v>118</v>
      </c>
      <c r="F164" s="1833" t="s">
        <v>119</v>
      </c>
      <c r="G164" s="246" t="s">
        <v>120</v>
      </c>
      <c r="H164" s="246" t="s">
        <v>121</v>
      </c>
      <c r="I164" s="248" t="s">
        <v>122</v>
      </c>
      <c r="J164" s="1761" t="s">
        <v>123</v>
      </c>
      <c r="K164" s="1761" t="s">
        <v>124</v>
      </c>
      <c r="L164" s="1849"/>
    </row>
    <row r="165" spans="1:18" ht="15.75" customHeight="1">
      <c r="A165" s="2510"/>
      <c r="B165" s="2636"/>
      <c r="C165" s="251">
        <v>2014</v>
      </c>
      <c r="D165" s="175"/>
      <c r="E165" s="175"/>
      <c r="F165" s="175"/>
      <c r="G165" s="175"/>
      <c r="H165" s="175"/>
      <c r="I165" s="176"/>
      <c r="J165" s="1850">
        <f>SUM(D165,F165,H165)</f>
        <v>0</v>
      </c>
      <c r="K165" s="253">
        <f>SUM(E165,G165,I165)</f>
        <v>0</v>
      </c>
      <c r="L165" s="1849"/>
    </row>
    <row r="166" spans="1:18">
      <c r="A166" s="2512"/>
      <c r="B166" s="2032"/>
      <c r="C166" s="254">
        <v>2015</v>
      </c>
      <c r="D166" s="37">
        <f>SUM('dolnośląskie:ODR woj. zachodniopomorskie'!D166)</f>
        <v>0</v>
      </c>
      <c r="E166" s="37">
        <f>SUM('dolnośląskie:ODR woj. zachodniopomorskie'!E166)</f>
        <v>0</v>
      </c>
      <c r="F166" s="37">
        <f>SUM('dolnośląskie:ODR woj. zachodniopomorskie'!F166)</f>
        <v>0</v>
      </c>
      <c r="G166" s="37">
        <f>SUM('dolnośląskie:ODR woj. zachodniopomorskie'!G166)</f>
        <v>0</v>
      </c>
      <c r="H166" s="37">
        <f>SUM('dolnośląskie:ODR woj. zachodniopomorskie'!H166)</f>
        <v>0</v>
      </c>
      <c r="I166" s="37">
        <f>SUM('dolnośląskie:ODR woj. zachodniopomorskie'!I166)</f>
        <v>0</v>
      </c>
      <c r="J166" s="1851">
        <f t="shared" ref="J166:K171" si="17">SUM(D166,F166,H166)</f>
        <v>0</v>
      </c>
      <c r="K166" s="408">
        <f t="shared" si="17"/>
        <v>0</v>
      </c>
      <c r="L166" s="1849"/>
    </row>
    <row r="167" spans="1:18">
      <c r="A167" s="2512"/>
      <c r="B167" s="2032"/>
      <c r="C167" s="254">
        <v>2016</v>
      </c>
      <c r="D167" s="37">
        <f>SUM('dolnośląskie:ODR woj. zachodniopomorskie'!D167)</f>
        <v>13</v>
      </c>
      <c r="E167" s="37">
        <f>SUM('dolnośląskie:ODR woj. zachodniopomorskie'!E167)</f>
        <v>15</v>
      </c>
      <c r="F167" s="37">
        <f>SUM('dolnośląskie:ODR woj. zachodniopomorskie'!F167)</f>
        <v>1</v>
      </c>
      <c r="G167" s="37">
        <f>SUM('dolnośląskie:ODR woj. zachodniopomorskie'!G167)</f>
        <v>3</v>
      </c>
      <c r="H167" s="37">
        <f>SUM('dolnośląskie:ODR woj. zachodniopomorskie'!H167)</f>
        <v>154</v>
      </c>
      <c r="I167" s="37">
        <f>SUM('dolnośląskie:ODR woj. zachodniopomorskie'!I167)</f>
        <v>153</v>
      </c>
      <c r="J167" s="1851">
        <f>SUM(D167,F167,H167)</f>
        <v>168</v>
      </c>
      <c r="K167" s="408">
        <f>SUM(E167,G167,I167)</f>
        <v>171</v>
      </c>
    </row>
    <row r="168" spans="1:18">
      <c r="A168" s="2512"/>
      <c r="B168" s="2032"/>
      <c r="C168" s="254">
        <v>2017</v>
      </c>
      <c r="D168" s="37">
        <f>SUM('dolnośląskie:ODR woj. zachodniopomorskie'!D168)</f>
        <v>9</v>
      </c>
      <c r="E168" s="37">
        <f>SUM('dolnośląskie:ODR woj. zachodniopomorskie'!E168)</f>
        <v>27</v>
      </c>
      <c r="F168" s="37">
        <f>SUM('dolnośląskie:ODR woj. zachodniopomorskie'!F168)</f>
        <v>0</v>
      </c>
      <c r="G168" s="37">
        <f>SUM('dolnośląskie:ODR woj. zachodniopomorskie'!G168)</f>
        <v>2</v>
      </c>
      <c r="H168" s="37">
        <f>SUM('dolnośląskie:ODR woj. zachodniopomorskie'!H168)</f>
        <v>25</v>
      </c>
      <c r="I168" s="37">
        <f>SUM('dolnośląskie:ODR woj. zachodniopomorskie'!I168)</f>
        <v>5</v>
      </c>
      <c r="J168" s="1851">
        <f>SUM(D168,F168,H168)</f>
        <v>34</v>
      </c>
      <c r="K168" s="408">
        <f>SUM(E168,G168,I168)</f>
        <v>34</v>
      </c>
    </row>
    <row r="169" spans="1:18">
      <c r="A169" s="2512"/>
      <c r="B169" s="2032"/>
      <c r="C169" s="262">
        <v>2018</v>
      </c>
      <c r="D169" s="255"/>
      <c r="E169" s="255"/>
      <c r="F169" s="255"/>
      <c r="G169" s="263"/>
      <c r="H169" s="255"/>
      <c r="I169" s="256"/>
      <c r="J169" s="1851">
        <f t="shared" si="17"/>
        <v>0</v>
      </c>
      <c r="K169" s="408">
        <f t="shared" si="17"/>
        <v>0</v>
      </c>
      <c r="L169" s="1849"/>
    </row>
    <row r="170" spans="1:18">
      <c r="A170" s="2512"/>
      <c r="B170" s="2032"/>
      <c r="C170" s="254">
        <v>2019</v>
      </c>
      <c r="D170" s="165"/>
      <c r="E170" s="255"/>
      <c r="F170" s="255"/>
      <c r="G170" s="255"/>
      <c r="H170" s="263"/>
      <c r="I170" s="256"/>
      <c r="J170" s="1851">
        <f t="shared" si="17"/>
        <v>0</v>
      </c>
      <c r="K170" s="408">
        <f t="shared" si="17"/>
        <v>0</v>
      </c>
      <c r="L170" s="1849"/>
    </row>
    <row r="171" spans="1:18">
      <c r="A171" s="2512"/>
      <c r="B171" s="2032"/>
      <c r="C171" s="262">
        <v>2020</v>
      </c>
      <c r="D171" s="255"/>
      <c r="E171" s="255"/>
      <c r="F171" s="255"/>
      <c r="G171" s="255"/>
      <c r="H171" s="255"/>
      <c r="I171" s="256"/>
      <c r="J171" s="1851">
        <f t="shared" si="17"/>
        <v>0</v>
      </c>
      <c r="K171" s="408">
        <f t="shared" si="17"/>
        <v>0</v>
      </c>
      <c r="L171" s="1849"/>
    </row>
    <row r="172" spans="1:18" ht="41.25" customHeight="1" thickBot="1">
      <c r="A172" s="2514"/>
      <c r="B172" s="2719"/>
      <c r="C172" s="265" t="s">
        <v>13</v>
      </c>
      <c r="D172" s="181">
        <f>SUM(D165:D171)</f>
        <v>22</v>
      </c>
      <c r="E172" s="181">
        <f t="shared" ref="E172:K172" si="18">SUM(E165:E171)</f>
        <v>42</v>
      </c>
      <c r="F172" s="181">
        <f t="shared" si="18"/>
        <v>1</v>
      </c>
      <c r="G172" s="181">
        <f t="shared" si="18"/>
        <v>5</v>
      </c>
      <c r="H172" s="181">
        <f t="shared" si="18"/>
        <v>179</v>
      </c>
      <c r="I172" s="409">
        <f t="shared" si="18"/>
        <v>158</v>
      </c>
      <c r="J172" s="410">
        <f>SUM(J165:J171)</f>
        <v>202</v>
      </c>
      <c r="K172" s="221">
        <f t="shared" si="18"/>
        <v>205</v>
      </c>
      <c r="L172" s="1849"/>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503" t="s">
        <v>127</v>
      </c>
      <c r="B176" s="2466" t="s">
        <v>182</v>
      </c>
      <c r="C176" s="2470" t="s">
        <v>9</v>
      </c>
      <c r="D176" s="1762" t="s">
        <v>128</v>
      </c>
      <c r="E176" s="1834"/>
      <c r="F176" s="1834"/>
      <c r="G176" s="1835"/>
      <c r="H176" s="1763"/>
      <c r="I176" s="2392" t="s">
        <v>129</v>
      </c>
      <c r="J176" s="2464"/>
      <c r="K176" s="2464"/>
      <c r="L176" s="2464"/>
      <c r="M176" s="2464"/>
      <c r="N176" s="2464"/>
      <c r="O176" s="2465"/>
    </row>
    <row r="177" spans="1:15" s="56" customFormat="1" ht="129.75" customHeight="1">
      <c r="A177" s="2742"/>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2725"/>
      <c r="B178" s="2697"/>
      <c r="C178" s="106">
        <v>2014</v>
      </c>
      <c r="D178" s="30"/>
      <c r="E178" s="31"/>
      <c r="F178" s="31"/>
      <c r="G178" s="284">
        <f>SUM(D178:F178)</f>
        <v>0</v>
      </c>
      <c r="H178" s="155"/>
      <c r="I178" s="155"/>
      <c r="J178" s="31"/>
      <c r="K178" s="31"/>
      <c r="L178" s="31"/>
      <c r="M178" s="31"/>
      <c r="N178" s="31"/>
      <c r="O178" s="34"/>
    </row>
    <row r="179" spans="1:15">
      <c r="A179" s="2726"/>
      <c r="B179" s="2697"/>
      <c r="C179" s="110">
        <v>2015</v>
      </c>
      <c r="D179" s="37">
        <f>SUM('dolnośląskie:ODR woj. zachodniopomorskie'!D179)</f>
        <v>94</v>
      </c>
      <c r="E179" s="37">
        <f>SUM('dolnośląskie:ODR woj. zachodniopomorskie'!E179)</f>
        <v>22</v>
      </c>
      <c r="F179" s="37">
        <f>SUM('dolnośląskie:ODR woj. zachodniopomorskie'!F179)</f>
        <v>6</v>
      </c>
      <c r="G179" s="284">
        <f t="shared" ref="G179:G184" si="19">SUM(D179:F179)</f>
        <v>122</v>
      </c>
      <c r="H179" s="37">
        <f>SUM('dolnośląskie:ODR woj. zachodniopomorskie'!H179)</f>
        <v>143</v>
      </c>
      <c r="I179" s="112">
        <f>SUM('dolnośląskie:ODR woj. zachodniopomorskie'!I179)</f>
        <v>43</v>
      </c>
      <c r="J179" s="37">
        <f>SUM('dolnośląskie:ODR woj. zachodniopomorskie'!J179)</f>
        <v>14</v>
      </c>
      <c r="K179" s="37">
        <f>SUM('dolnośląskie:ODR woj. zachodniopomorskie'!K179)</f>
        <v>1</v>
      </c>
      <c r="L179" s="37">
        <f>SUM('dolnośląskie:ODR woj. zachodniopomorskie'!L179)</f>
        <v>21</v>
      </c>
      <c r="M179" s="37">
        <f>SUM('dolnośląskie:ODR woj. zachodniopomorskie'!M179)</f>
        <v>17</v>
      </c>
      <c r="N179" s="37">
        <f>SUM('dolnośląskie:ODR woj. zachodniopomorskie'!N179)</f>
        <v>0</v>
      </c>
      <c r="O179" s="88">
        <f>SUM('dolnośląskie:ODR woj. zachodniopomorskie'!O179)</f>
        <v>26</v>
      </c>
    </row>
    <row r="180" spans="1:15">
      <c r="A180" s="2726"/>
      <c r="B180" s="2697"/>
      <c r="C180" s="110">
        <v>2016</v>
      </c>
      <c r="D180" s="37">
        <f>SUM('dolnośląskie:ODR woj. zachodniopomorskie'!D180)</f>
        <v>1248</v>
      </c>
      <c r="E180" s="37">
        <f>SUM('dolnośląskie:ODR woj. zachodniopomorskie'!E180)</f>
        <v>60</v>
      </c>
      <c r="F180" s="37">
        <f>SUM('dolnośląskie:ODR woj. zachodniopomorskie'!F180)</f>
        <v>92</v>
      </c>
      <c r="G180" s="284">
        <f>SUM(D180:F180)</f>
        <v>1400</v>
      </c>
      <c r="H180" s="37">
        <f>SUM('dolnośląskie:ODR woj. zachodniopomorskie'!H180)</f>
        <v>1706</v>
      </c>
      <c r="I180" s="112">
        <f>SUM('dolnośląskie:ODR woj. zachodniopomorskie'!I180)</f>
        <v>270</v>
      </c>
      <c r="J180" s="37">
        <f>SUM('dolnośląskie:ODR woj. zachodniopomorskie'!J180)</f>
        <v>116</v>
      </c>
      <c r="K180" s="37">
        <f>SUM('dolnośląskie:ODR woj. zachodniopomorskie'!K180)</f>
        <v>38</v>
      </c>
      <c r="L180" s="37">
        <f>SUM('dolnośląskie:ODR woj. zachodniopomorskie'!L180)</f>
        <v>179</v>
      </c>
      <c r="M180" s="37">
        <f>SUM('dolnośląskie:ODR woj. zachodniopomorskie'!M180)</f>
        <v>67</v>
      </c>
      <c r="N180" s="37">
        <f>SUM('dolnośląskie:ODR woj. zachodniopomorskie'!N180)</f>
        <v>0</v>
      </c>
      <c r="O180" s="88">
        <f>SUM('dolnośląskie:ODR woj. zachodniopomorskie'!O180)</f>
        <v>730</v>
      </c>
    </row>
    <row r="181" spans="1:15">
      <c r="A181" s="2726"/>
      <c r="B181" s="2697"/>
      <c r="C181" s="110">
        <v>2017</v>
      </c>
      <c r="D181" s="37">
        <f>SUM('dolnośląskie:ODR woj. zachodniopomorskie'!D181)</f>
        <v>931</v>
      </c>
      <c r="E181" s="37">
        <f>SUM('dolnośląskie:ODR woj. zachodniopomorskie'!E181)</f>
        <v>85</v>
      </c>
      <c r="F181" s="37">
        <f>SUM('dolnośląskie:ODR woj. zachodniopomorskie'!F181)</f>
        <v>168</v>
      </c>
      <c r="G181" s="284">
        <f>SUM(D181:F181)</f>
        <v>1184</v>
      </c>
      <c r="H181" s="37">
        <f>SUM('dolnośląskie:ODR woj. zachodniopomorskie'!H181)</f>
        <v>1676</v>
      </c>
      <c r="I181" s="112">
        <f>SUM('dolnośląskie:ODR woj. zachodniopomorskie'!I181)</f>
        <v>531</v>
      </c>
      <c r="J181" s="37">
        <f>SUM('dolnośląskie:ODR woj. zachodniopomorskie'!J181)</f>
        <v>122</v>
      </c>
      <c r="K181" s="37">
        <f>SUM('dolnośląskie:ODR woj. zachodniopomorskie'!K181)</f>
        <v>16</v>
      </c>
      <c r="L181" s="37">
        <f>SUM('dolnośląskie:ODR woj. zachodniopomorskie'!L181)</f>
        <v>129</v>
      </c>
      <c r="M181" s="37">
        <f>SUM('dolnośląskie:ODR woj. zachodniopomorskie'!M181)</f>
        <v>94</v>
      </c>
      <c r="N181" s="37">
        <f>SUM('dolnośląskie:ODR woj. zachodniopomorskie'!N181)</f>
        <v>0</v>
      </c>
      <c r="O181" s="88">
        <f>SUM('dolnośląskie:ODR woj. zachodniopomorskie'!O181)</f>
        <v>292</v>
      </c>
    </row>
    <row r="182" spans="1:15">
      <c r="A182" s="2726"/>
      <c r="B182" s="2697"/>
      <c r="C182" s="110">
        <v>2018</v>
      </c>
      <c r="D182" s="37"/>
      <c r="E182" s="38"/>
      <c r="F182" s="38"/>
      <c r="G182" s="284">
        <f t="shared" si="19"/>
        <v>0</v>
      </c>
      <c r="H182" s="411"/>
      <c r="I182" s="112"/>
      <c r="J182" s="38"/>
      <c r="K182" s="38"/>
      <c r="L182" s="38"/>
      <c r="M182" s="38"/>
      <c r="N182" s="38"/>
      <c r="O182" s="88"/>
    </row>
    <row r="183" spans="1:15">
      <c r="A183" s="2726"/>
      <c r="B183" s="2697"/>
      <c r="C183" s="110">
        <v>2019</v>
      </c>
      <c r="D183" s="37"/>
      <c r="E183" s="38"/>
      <c r="F183" s="38"/>
      <c r="G183" s="284">
        <f t="shared" si="19"/>
        <v>0</v>
      </c>
      <c r="H183" s="411"/>
      <c r="I183" s="112"/>
      <c r="J183" s="38"/>
      <c r="K183" s="38"/>
      <c r="L183" s="38"/>
      <c r="M183" s="38"/>
      <c r="N183" s="38"/>
      <c r="O183" s="88"/>
    </row>
    <row r="184" spans="1:15">
      <c r="A184" s="2726"/>
      <c r="B184" s="2697"/>
      <c r="C184" s="110">
        <v>2020</v>
      </c>
      <c r="D184" s="37"/>
      <c r="E184" s="38"/>
      <c r="F184" s="38"/>
      <c r="G184" s="284">
        <f t="shared" si="19"/>
        <v>0</v>
      </c>
      <c r="H184" s="411"/>
      <c r="I184" s="112"/>
      <c r="J184" s="38"/>
      <c r="K184" s="38"/>
      <c r="L184" s="38"/>
      <c r="M184" s="38"/>
      <c r="N184" s="38"/>
      <c r="O184" s="88"/>
    </row>
    <row r="185" spans="1:15" ht="45" customHeight="1" thickBot="1">
      <c r="A185" s="2595"/>
      <c r="B185" s="2729"/>
      <c r="C185" s="113" t="s">
        <v>13</v>
      </c>
      <c r="D185" s="139">
        <f>SUM(D178:D184)</f>
        <v>2273</v>
      </c>
      <c r="E185" s="116">
        <f>SUM(E178:E184)</f>
        <v>167</v>
      </c>
      <c r="F185" s="116">
        <f>SUM(F178:F184)</f>
        <v>266</v>
      </c>
      <c r="G185" s="220">
        <f t="shared" ref="G185:O185" si="20">SUM(G178:G184)</f>
        <v>2706</v>
      </c>
      <c r="H185" s="285">
        <f t="shared" si="20"/>
        <v>3525</v>
      </c>
      <c r="I185" s="115">
        <f t="shared" si="20"/>
        <v>844</v>
      </c>
      <c r="J185" s="116">
        <f t="shared" si="20"/>
        <v>252</v>
      </c>
      <c r="K185" s="116">
        <f t="shared" si="20"/>
        <v>55</v>
      </c>
      <c r="L185" s="116">
        <f t="shared" si="20"/>
        <v>329</v>
      </c>
      <c r="M185" s="116">
        <f t="shared" si="20"/>
        <v>178</v>
      </c>
      <c r="N185" s="116">
        <f t="shared" si="20"/>
        <v>0</v>
      </c>
      <c r="O185" s="117">
        <f t="shared" si="20"/>
        <v>1048</v>
      </c>
    </row>
    <row r="186" spans="1:15" ht="33" customHeight="1" thickBot="1"/>
    <row r="187" spans="1:15" ht="19.5" customHeight="1">
      <c r="A187" s="2379" t="s">
        <v>137</v>
      </c>
      <c r="B187" s="2466" t="s">
        <v>182</v>
      </c>
      <c r="C187" s="1865" t="s">
        <v>9</v>
      </c>
      <c r="D187" s="1867" t="s">
        <v>138</v>
      </c>
      <c r="E187" s="2467"/>
      <c r="F187" s="2467"/>
      <c r="G187" s="2382"/>
      <c r="H187" s="2383"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2693"/>
      <c r="B189" s="2636"/>
      <c r="C189" s="290">
        <v>2014</v>
      </c>
      <c r="D189" s="133"/>
      <c r="E189" s="109"/>
      <c r="F189" s="109"/>
      <c r="G189" s="291">
        <f>SUM(D189:F189)</f>
        <v>0</v>
      </c>
      <c r="H189" s="108"/>
      <c r="I189" s="109"/>
      <c r="J189" s="109"/>
      <c r="K189" s="109"/>
      <c r="L189" s="134"/>
    </row>
    <row r="190" spans="1:15">
      <c r="A190" s="2741"/>
      <c r="B190" s="2032"/>
      <c r="C190" s="73">
        <v>2015</v>
      </c>
      <c r="D190" s="37">
        <f>SUM('dolnośląskie:ODR woj. zachodniopomorskie'!D190)</f>
        <v>5151</v>
      </c>
      <c r="E190" s="37">
        <f>SUM('dolnośląskie:ODR woj. zachodniopomorskie'!E190)</f>
        <v>1034</v>
      </c>
      <c r="F190" s="37">
        <f>SUM('dolnośląskie:ODR woj. zachodniopomorskie'!F190)</f>
        <v>483</v>
      </c>
      <c r="G190" s="291">
        <f t="shared" ref="G190:G195" si="21">SUM(D190:F190)</f>
        <v>6668</v>
      </c>
      <c r="H190" s="37">
        <f>SUM('dolnośląskie:ODR woj. zachodniopomorskie'!H190)</f>
        <v>38</v>
      </c>
      <c r="I190" s="37">
        <f>SUM('dolnośląskie:ODR woj. zachodniopomorskie'!I190)</f>
        <v>679</v>
      </c>
      <c r="J190" s="37">
        <f>SUM('dolnośląskie:ODR woj. zachodniopomorskie'!J190)</f>
        <v>381</v>
      </c>
      <c r="K190" s="37">
        <f>SUM('dolnośląskie:ODR woj. zachodniopomorskie'!K190)</f>
        <v>2125</v>
      </c>
      <c r="L190" s="88">
        <f>SUM('dolnośląskie:ODR woj. zachodniopomorskie'!L190)</f>
        <v>3445</v>
      </c>
    </row>
    <row r="191" spans="1:15">
      <c r="A191" s="2741"/>
      <c r="B191" s="2032"/>
      <c r="C191" s="73">
        <v>2016</v>
      </c>
      <c r="D191" s="37">
        <f>SUM('dolnośląskie:ODR woj. zachodniopomorskie'!D191)</f>
        <v>50102</v>
      </c>
      <c r="E191" s="37">
        <f>SUM('dolnośląskie:ODR woj. zachodniopomorskie'!E191)</f>
        <v>2074</v>
      </c>
      <c r="F191" s="37">
        <f>SUM('dolnośląskie:ODR woj. zachodniopomorskie'!F191)</f>
        <v>2243</v>
      </c>
      <c r="G191" s="291">
        <f>SUM(D191:F191)</f>
        <v>54419</v>
      </c>
      <c r="H191" s="37">
        <f>SUM('dolnośląskie:ODR woj. zachodniopomorskie'!H191)</f>
        <v>121</v>
      </c>
      <c r="I191" s="37">
        <f>SUM('dolnośląskie:ODR woj. zachodniopomorskie'!I191)</f>
        <v>2365</v>
      </c>
      <c r="J191" s="37">
        <f>SUM('dolnośląskie:ODR woj. zachodniopomorskie'!J191)</f>
        <v>10541</v>
      </c>
      <c r="K191" s="37">
        <f>SUM('dolnośląskie:ODR woj. zachodniopomorskie'!K191)</f>
        <v>5320</v>
      </c>
      <c r="L191" s="88">
        <f>SUM('dolnośląskie:ODR woj. zachodniopomorskie'!L191)</f>
        <v>36072</v>
      </c>
    </row>
    <row r="192" spans="1:15">
      <c r="A192" s="2741"/>
      <c r="B192" s="2032"/>
      <c r="C192" s="73">
        <v>2017</v>
      </c>
      <c r="D192" s="37">
        <f>SUM('dolnośląskie:ODR woj. zachodniopomorskie'!D192)</f>
        <v>35210</v>
      </c>
      <c r="E192" s="37">
        <f>SUM('dolnośląskie:ODR woj. zachodniopomorskie'!E192)</f>
        <v>2272</v>
      </c>
      <c r="F192" s="37">
        <f>SUM('dolnośląskie:ODR woj. zachodniopomorskie'!F192)</f>
        <v>3264</v>
      </c>
      <c r="G192" s="291">
        <f>SUM(D192:F192)</f>
        <v>40746</v>
      </c>
      <c r="H192" s="37">
        <f>SUM('dolnośląskie:ODR woj. zachodniopomorskie'!H192)</f>
        <v>104</v>
      </c>
      <c r="I192" s="37">
        <f>SUM('dolnośląskie:ODR woj. zachodniopomorskie'!I192)</f>
        <v>4287</v>
      </c>
      <c r="J192" s="37">
        <f>SUM('dolnośląskie:ODR woj. zachodniopomorskie'!J192)</f>
        <v>9346</v>
      </c>
      <c r="K192" s="37">
        <f>SUM('dolnośląskie:ODR woj. zachodniopomorskie'!K192)</f>
        <v>4407</v>
      </c>
      <c r="L192" s="88">
        <f>SUM('dolnośląskie:ODR woj. zachodniopomorskie'!L192)</f>
        <v>22602</v>
      </c>
    </row>
    <row r="193" spans="1:14">
      <c r="A193" s="2741"/>
      <c r="B193" s="2032"/>
      <c r="C193" s="73">
        <v>2018</v>
      </c>
      <c r="D193" s="37"/>
      <c r="E193" s="38"/>
      <c r="F193" s="38"/>
      <c r="G193" s="291">
        <f t="shared" si="21"/>
        <v>0</v>
      </c>
      <c r="H193" s="112"/>
      <c r="I193" s="38"/>
      <c r="J193" s="38"/>
      <c r="K193" s="38"/>
      <c r="L193" s="88"/>
    </row>
    <row r="194" spans="1:14">
      <c r="A194" s="2741"/>
      <c r="B194" s="2032"/>
      <c r="C194" s="73">
        <v>2019</v>
      </c>
      <c r="D194" s="37"/>
      <c r="E194" s="38"/>
      <c r="F194" s="38"/>
      <c r="G194" s="291">
        <f t="shared" si="21"/>
        <v>0</v>
      </c>
      <c r="H194" s="112"/>
      <c r="I194" s="38"/>
      <c r="J194" s="38"/>
      <c r="K194" s="38"/>
      <c r="L194" s="88"/>
    </row>
    <row r="195" spans="1:14">
      <c r="A195" s="2741"/>
      <c r="B195" s="2032"/>
      <c r="C195" s="73">
        <v>2020</v>
      </c>
      <c r="D195" s="37"/>
      <c r="E195" s="38"/>
      <c r="F195" s="38"/>
      <c r="G195" s="291">
        <f t="shared" si="21"/>
        <v>0</v>
      </c>
      <c r="H195" s="112"/>
      <c r="I195" s="38"/>
      <c r="J195" s="38"/>
      <c r="K195" s="38"/>
      <c r="L195" s="88"/>
    </row>
    <row r="196" spans="1:14" ht="15.75" thickBot="1">
      <c r="A196" s="2695"/>
      <c r="B196" s="2719"/>
      <c r="C196" s="136" t="s">
        <v>13</v>
      </c>
      <c r="D196" s="139">
        <f t="shared" ref="D196:L196" si="22">SUM(D189:D195)</f>
        <v>90463</v>
      </c>
      <c r="E196" s="116">
        <f t="shared" si="22"/>
        <v>5380</v>
      </c>
      <c r="F196" s="116">
        <f t="shared" si="22"/>
        <v>5990</v>
      </c>
      <c r="G196" s="292">
        <f t="shared" si="22"/>
        <v>101833</v>
      </c>
      <c r="H196" s="115">
        <f t="shared" si="22"/>
        <v>263</v>
      </c>
      <c r="I196" s="116">
        <f t="shared" si="22"/>
        <v>7331</v>
      </c>
      <c r="J196" s="116">
        <f t="shared" si="22"/>
        <v>20268</v>
      </c>
      <c r="K196" s="116">
        <f t="shared" si="22"/>
        <v>11852</v>
      </c>
      <c r="L196" s="117">
        <f t="shared" si="22"/>
        <v>62119</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1842" t="s">
        <v>150</v>
      </c>
      <c r="B201" s="417" t="s">
        <v>182</v>
      </c>
      <c r="C201" s="298" t="s">
        <v>9</v>
      </c>
      <c r="D201" s="1764" t="s">
        <v>151</v>
      </c>
      <c r="E201" s="300" t="s">
        <v>152</v>
      </c>
      <c r="F201" s="300" t="s">
        <v>153</v>
      </c>
      <c r="G201" s="298" t="s">
        <v>154</v>
      </c>
      <c r="H201" s="1836" t="s">
        <v>155</v>
      </c>
      <c r="I201" s="1765" t="s">
        <v>156</v>
      </c>
      <c r="J201" s="1766" t="s">
        <v>157</v>
      </c>
      <c r="K201" s="300" t="s">
        <v>158</v>
      </c>
      <c r="L201" s="304" t="s">
        <v>159</v>
      </c>
    </row>
    <row r="202" spans="1:14" ht="15" customHeight="1">
      <c r="A202" s="2718"/>
      <c r="B202" s="2032"/>
      <c r="C202" s="72">
        <v>2014</v>
      </c>
      <c r="D202" s="30"/>
      <c r="E202" s="31"/>
      <c r="F202" s="31"/>
      <c r="G202" s="29"/>
      <c r="H202" s="305"/>
      <c r="I202" s="306"/>
      <c r="J202" s="307"/>
      <c r="K202" s="31"/>
      <c r="L202" s="34"/>
    </row>
    <row r="203" spans="1:14">
      <c r="A203" s="2718"/>
      <c r="B203" s="2032"/>
      <c r="C203" s="73">
        <v>2015</v>
      </c>
      <c r="D203" s="37">
        <f>SUM('dolnośląskie:ODR woj. zachodniopomorskie'!D203)</f>
        <v>0</v>
      </c>
      <c r="E203" s="37">
        <f>SUM('dolnośląskie:ODR woj. zachodniopomorskie'!E203)</f>
        <v>0</v>
      </c>
      <c r="F203" s="37">
        <f>SUM('dolnośląskie:ODR woj. zachodniopomorskie'!F203)</f>
        <v>0</v>
      </c>
      <c r="G203" s="36">
        <f>SUM('dolnośląskie:ODR woj. zachodniopomorskie'!G203)</f>
        <v>0</v>
      </c>
      <c r="H203" s="308">
        <f>SUM('dolnośląskie:ODR woj. zachodniopomorskie'!H203)</f>
        <v>0</v>
      </c>
      <c r="I203" s="309">
        <f>SUM('dolnośląskie:ODR woj. zachodniopomorskie'!I203)</f>
        <v>0</v>
      </c>
      <c r="J203" s="37">
        <f>SUM('dolnośląskie:ODR woj. zachodniopomorskie'!J203)</f>
        <v>1</v>
      </c>
      <c r="K203" s="37">
        <f>SUM('dolnośląskie:ODR woj. zachodniopomorskie'!K203)</f>
        <v>29</v>
      </c>
      <c r="L203" s="88">
        <f>SUM('dolnośląskie:ODR woj. zachodniopomorskie'!L203)</f>
        <v>0</v>
      </c>
    </row>
    <row r="204" spans="1:14">
      <c r="A204" s="2718"/>
      <c r="B204" s="2032"/>
      <c r="C204" s="73">
        <v>2016</v>
      </c>
      <c r="D204" s="37">
        <f>SUM('dolnośląskie:ODR woj. zachodniopomorskie'!D204)</f>
        <v>11</v>
      </c>
      <c r="E204" s="37">
        <f>SUM('dolnośląskie:ODR woj. zachodniopomorskie'!E204)</f>
        <v>160</v>
      </c>
      <c r="F204" s="37">
        <f>SUM('dolnośląskie:ODR woj. zachodniopomorskie'!F204)</f>
        <v>10</v>
      </c>
      <c r="G204" s="36">
        <f>SUM('dolnośląskie:ODR woj. zachodniopomorskie'!G204)</f>
        <v>1</v>
      </c>
      <c r="H204" s="308">
        <f>SUM('dolnośląskie:ODR woj. zachodniopomorskie'!H204)</f>
        <v>26</v>
      </c>
      <c r="I204" s="309">
        <f>SUM('dolnośląskie:ODR woj. zachodniopomorskie'!I204)</f>
        <v>0</v>
      </c>
      <c r="J204" s="37">
        <f>SUM('dolnośląskie:ODR woj. zachodniopomorskie'!J204)</f>
        <v>5</v>
      </c>
      <c r="K204" s="37">
        <f>SUM('dolnośląskie:ODR woj. zachodniopomorskie'!K204)</f>
        <v>115</v>
      </c>
      <c r="L204" s="88">
        <f>SUM('dolnośląskie:ODR woj. zachodniopomorskie'!L204)</f>
        <v>0</v>
      </c>
    </row>
    <row r="205" spans="1:14">
      <c r="A205" s="2718"/>
      <c r="B205" s="2032"/>
      <c r="C205" s="73">
        <v>2017</v>
      </c>
      <c r="D205" s="37">
        <f>SUM('dolnośląskie:ODR woj. zachodniopomorskie'!D205)</f>
        <v>15</v>
      </c>
      <c r="E205" s="37">
        <f>SUM('dolnośląskie:ODR woj. zachodniopomorskie'!E205)</f>
        <v>144</v>
      </c>
      <c r="F205" s="37">
        <f>SUM('dolnośląskie:ODR woj. zachodniopomorskie'!F205)</f>
        <v>24</v>
      </c>
      <c r="G205" s="36">
        <f>SUM('dolnośląskie:ODR woj. zachodniopomorskie'!G205)</f>
        <v>2</v>
      </c>
      <c r="H205" s="308">
        <f>SUM('dolnośląskie:ODR woj. zachodniopomorskie'!H205)</f>
        <v>51</v>
      </c>
      <c r="I205" s="309">
        <f>SUM('dolnośląskie:ODR woj. zachodniopomorskie'!I205)</f>
        <v>1</v>
      </c>
      <c r="J205" s="37">
        <f>SUM('dolnośląskie:ODR woj. zachodniopomorskie'!J205)</f>
        <v>3</v>
      </c>
      <c r="K205" s="37">
        <f>SUM('dolnośląskie:ODR woj. zachodniopomorskie'!K205)</f>
        <v>106</v>
      </c>
      <c r="L205" s="88">
        <f>SUM('dolnośląskie:ODR woj. zachodniopomorskie'!L205)</f>
        <v>0</v>
      </c>
    </row>
    <row r="206" spans="1:14">
      <c r="A206" s="2718"/>
      <c r="B206" s="2032"/>
      <c r="C206" s="73">
        <v>2018</v>
      </c>
      <c r="D206" s="37"/>
      <c r="E206" s="38"/>
      <c r="F206" s="38"/>
      <c r="G206" s="36"/>
      <c r="H206" s="308"/>
      <c r="I206" s="309"/>
      <c r="J206" s="310"/>
      <c r="K206" s="38"/>
      <c r="L206" s="88"/>
    </row>
    <row r="207" spans="1:14">
      <c r="A207" s="2718"/>
      <c r="B207" s="2032"/>
      <c r="C207" s="73">
        <v>2019</v>
      </c>
      <c r="D207" s="37"/>
      <c r="E207" s="38"/>
      <c r="F207" s="38"/>
      <c r="G207" s="36"/>
      <c r="H207" s="308"/>
      <c r="I207" s="309"/>
      <c r="J207" s="310"/>
      <c r="K207" s="38"/>
      <c r="L207" s="88"/>
    </row>
    <row r="208" spans="1:14">
      <c r="A208" s="2718"/>
      <c r="B208" s="2032"/>
      <c r="C208" s="73">
        <v>2020</v>
      </c>
      <c r="D208" s="1809"/>
      <c r="E208" s="312"/>
      <c r="F208" s="312"/>
      <c r="G208" s="313"/>
      <c r="H208" s="314"/>
      <c r="I208" s="315"/>
      <c r="J208" s="316"/>
      <c r="K208" s="312"/>
      <c r="L208" s="317"/>
    </row>
    <row r="209" spans="1:12" ht="20.25" customHeight="1" thickBot="1">
      <c r="A209" s="2612"/>
      <c r="B209" s="2719"/>
      <c r="C209" s="136" t="s">
        <v>13</v>
      </c>
      <c r="D209" s="139">
        <f>SUM(D202:D208)</f>
        <v>26</v>
      </c>
      <c r="E209" s="139">
        <f t="shared" ref="E209:L209" si="23">SUM(E202:E208)</f>
        <v>304</v>
      </c>
      <c r="F209" s="139">
        <f t="shared" si="23"/>
        <v>34</v>
      </c>
      <c r="G209" s="139">
        <f t="shared" si="23"/>
        <v>3</v>
      </c>
      <c r="H209" s="139">
        <f t="shared" si="23"/>
        <v>77</v>
      </c>
      <c r="I209" s="139">
        <f t="shared" si="23"/>
        <v>1</v>
      </c>
      <c r="J209" s="139">
        <f t="shared" si="23"/>
        <v>9</v>
      </c>
      <c r="K209" s="139">
        <f t="shared" si="23"/>
        <v>250</v>
      </c>
      <c r="L209" s="117">
        <f t="shared" si="23"/>
        <v>0</v>
      </c>
    </row>
    <row r="211" spans="1:12" ht="15.75" thickBot="1"/>
    <row r="212" spans="1:12" ht="29.25">
      <c r="A212" s="1843" t="s">
        <v>161</v>
      </c>
      <c r="B212" s="322" t="s">
        <v>162</v>
      </c>
      <c r="C212" s="323">
        <v>2014</v>
      </c>
      <c r="D212" s="324">
        <v>2015</v>
      </c>
      <c r="E212" s="324">
        <v>2016</v>
      </c>
      <c r="F212" s="324">
        <v>2017</v>
      </c>
      <c r="G212" s="324">
        <v>2018</v>
      </c>
      <c r="H212" s="324">
        <v>2019</v>
      </c>
      <c r="I212" s="325">
        <v>2020</v>
      </c>
    </row>
    <row r="213" spans="1:12" ht="15" customHeight="1">
      <c r="A213" t="s">
        <v>163</v>
      </c>
      <c r="B213" s="2692"/>
      <c r="C213" s="72"/>
      <c r="D213" s="328">
        <f>SUM(D214:D216)</f>
        <v>8045484.1999999993</v>
      </c>
      <c r="E213" s="328">
        <f>SUM(E214:E217)</f>
        <v>22884298.729999997</v>
      </c>
      <c r="F213" s="328">
        <f>SUM(F214:F217)</f>
        <v>21673580.539999999</v>
      </c>
      <c r="G213" s="135"/>
      <c r="H213" s="135"/>
      <c r="I213" s="326"/>
    </row>
    <row r="214" spans="1:12">
      <c r="A214" t="s">
        <v>164</v>
      </c>
      <c r="B214" s="2555"/>
      <c r="C214" s="72"/>
      <c r="D214" s="328">
        <f>SUM('dolnośląskie:ODR woj. zachodniopomorskie'!D214)</f>
        <v>5325783.08</v>
      </c>
      <c r="E214" s="328">
        <f>SUM('dolnośląskie:ODR woj. zachodniopomorskie'!E214)</f>
        <v>14055284.999999996</v>
      </c>
      <c r="F214" s="1590">
        <f>SUM('dolnośląskie:ODR woj. zachodniopomorskie'!F214)</f>
        <v>11081754.090000002</v>
      </c>
      <c r="G214" s="135"/>
      <c r="H214" s="135"/>
      <c r="I214" s="326"/>
    </row>
    <row r="215" spans="1:12">
      <c r="A215" t="s">
        <v>165</v>
      </c>
      <c r="B215" s="2555"/>
      <c r="C215" s="72"/>
      <c r="D215" s="328">
        <f>SUM('dolnośląskie:ODR woj. zachodniopomorskie'!D215)</f>
        <v>28619.64</v>
      </c>
      <c r="E215" s="328">
        <f>SUM('dolnośląskie:ODR woj. zachodniopomorskie'!E215)</f>
        <v>89868.160000000003</v>
      </c>
      <c r="F215" s="1590">
        <f>SUM('dolnośląskie:ODR woj. zachodniopomorskie'!F215)</f>
        <v>40297.750000000007</v>
      </c>
      <c r="G215" s="135"/>
      <c r="H215" s="135"/>
      <c r="I215" s="326"/>
    </row>
    <row r="216" spans="1:12">
      <c r="A216" t="s">
        <v>166</v>
      </c>
      <c r="B216" s="2555"/>
      <c r="C216" s="72"/>
      <c r="D216" s="328">
        <f>SUM('dolnośląskie:ODR woj. zachodniopomorskie'!D216)</f>
        <v>2691081.48</v>
      </c>
      <c r="E216" s="328">
        <f>SUM('dolnośląskie:ODR woj. zachodniopomorskie'!E216)</f>
        <v>3717983.6799999992</v>
      </c>
      <c r="F216" s="1590">
        <f>SUM('dolnośląskie:ODR woj. zachodniopomorskie'!F216)</f>
        <v>3724946.0100000002</v>
      </c>
      <c r="G216" s="135"/>
      <c r="H216" s="135"/>
      <c r="I216" s="326"/>
    </row>
    <row r="217" spans="1:12">
      <c r="A217" t="s">
        <v>167</v>
      </c>
      <c r="B217" s="2555"/>
      <c r="C217" s="72"/>
      <c r="D217" s="328">
        <f>SUM('dolnośląskie:ODR woj. zachodniopomorskie'!D217)</f>
        <v>1535964.5999999999</v>
      </c>
      <c r="E217" s="328">
        <f>SUM('dolnośląskie:ODR woj. zachodniopomorskie'!E217)</f>
        <v>5021161.8899999997</v>
      </c>
      <c r="F217" s="1590">
        <f>SUM('dolnośląskie:ODR woj. zachodniopomorskie'!F217)</f>
        <v>6826582.6899999995</v>
      </c>
      <c r="G217" s="135"/>
      <c r="H217" s="135"/>
      <c r="I217" s="326"/>
    </row>
    <row r="218" spans="1:12" ht="30">
      <c r="A218" s="56" t="s">
        <v>168</v>
      </c>
      <c r="B218" s="2555"/>
      <c r="C218" s="72"/>
      <c r="D218" s="328">
        <f>SUM('dolnośląskie:ODR woj. zachodniopomorskie'!D218)+0.59</f>
        <v>6161364.6799999997</v>
      </c>
      <c r="E218" s="328">
        <f>SUM('dolnośląskie:ODR woj. zachodniopomorskie'!E218)</f>
        <v>11678664.699999997</v>
      </c>
      <c r="F218" s="1590">
        <f>SUM('dolnośląskie:ODR woj. zachodniopomorskie'!F218)</f>
        <v>12904944.730000002</v>
      </c>
      <c r="G218" s="135"/>
      <c r="H218" s="135"/>
      <c r="I218" s="326"/>
    </row>
    <row r="219" spans="1:12" ht="15.75" thickBot="1">
      <c r="A219" s="1852"/>
      <c r="B219" s="2556"/>
      <c r="C219" s="42" t="s">
        <v>13</v>
      </c>
      <c r="D219" s="332">
        <f>SUM(D214:D218)</f>
        <v>15742813.479999999</v>
      </c>
      <c r="E219" s="332">
        <f t="shared" ref="E219:I219" si="24">SUM(E214:E218)</f>
        <v>34562963.429999992</v>
      </c>
      <c r="F219" s="332">
        <f t="shared" si="24"/>
        <v>34578525.270000003</v>
      </c>
      <c r="G219" s="333">
        <f t="shared" si="24"/>
        <v>0</v>
      </c>
      <c r="H219" s="333">
        <f t="shared" si="24"/>
        <v>0</v>
      </c>
      <c r="I219" s="451">
        <f t="shared" si="24"/>
        <v>0</v>
      </c>
    </row>
    <row r="227" spans="1:1">
      <c r="A227" s="56"/>
    </row>
  </sheetData>
  <mergeCells count="56">
    <mergeCell ref="A202:B209"/>
    <mergeCell ref="B213:B219"/>
    <mergeCell ref="A187:A188"/>
    <mergeCell ref="B187:B188"/>
    <mergeCell ref="C187:C188"/>
    <mergeCell ref="D187:G187"/>
    <mergeCell ref="H187:L187"/>
    <mergeCell ref="A189:B196"/>
    <mergeCell ref="A165:B172"/>
    <mergeCell ref="A176:A177"/>
    <mergeCell ref="B176:B177"/>
    <mergeCell ref="C176:C177"/>
    <mergeCell ref="I176:O176"/>
    <mergeCell ref="A178:B185"/>
    <mergeCell ref="J142:N142"/>
    <mergeCell ref="A144:B151"/>
    <mergeCell ref="A153:A154"/>
    <mergeCell ref="B153:B154"/>
    <mergeCell ref="C153:C154"/>
    <mergeCell ref="C142:C143"/>
    <mergeCell ref="A155:B162"/>
    <mergeCell ref="A129:A130"/>
    <mergeCell ref="B129:B130"/>
    <mergeCell ref="A131:B137"/>
    <mergeCell ref="A142:A143"/>
    <mergeCell ref="B142:B143"/>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62:B69"/>
    <mergeCell ref="A72:B79"/>
    <mergeCell ref="A85:B92"/>
    <mergeCell ref="A96:A97"/>
    <mergeCell ref="B96:B97"/>
    <mergeCell ref="D60:D61"/>
    <mergeCell ref="B1:F1"/>
    <mergeCell ref="F3:O3"/>
    <mergeCell ref="A4:O10"/>
    <mergeCell ref="D15:G15"/>
    <mergeCell ref="A17:B24"/>
    <mergeCell ref="D26:G26"/>
    <mergeCell ref="A28:B35"/>
    <mergeCell ref="A40:B47"/>
    <mergeCell ref="A50:B58"/>
    <mergeCell ref="A60:A61"/>
    <mergeCell ref="C60:C6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7"/>
  <sheetViews>
    <sheetView topLeftCell="B7" zoomScale="80" zoomScaleNormal="80" workbookViewId="0">
      <selection activeCell="I18" sqref="I18:O18"/>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231</v>
      </c>
      <c r="C1" s="1944"/>
      <c r="D1" s="1944"/>
      <c r="E1" s="1944"/>
      <c r="F1" s="1944"/>
    </row>
    <row r="2" spans="1:25" s="1" customFormat="1" ht="20.100000000000001" customHeight="1" thickBot="1"/>
    <row r="3" spans="1:25" s="4" customFormat="1" ht="20.100000000000001" customHeight="1">
      <c r="A3" s="488" t="s">
        <v>2</v>
      </c>
      <c r="B3" s="489"/>
      <c r="C3" s="489"/>
      <c r="D3" s="489"/>
      <c r="E3" s="489"/>
      <c r="F3" s="2010"/>
      <c r="G3" s="2010"/>
      <c r="H3" s="2010"/>
      <c r="I3" s="2010"/>
      <c r="J3" s="2010"/>
      <c r="K3" s="2010"/>
      <c r="L3" s="2010"/>
      <c r="M3" s="2010"/>
      <c r="N3" s="2010"/>
      <c r="O3" s="2011"/>
    </row>
    <row r="4" spans="1:25" s="4" customFormat="1" ht="20.100000000000001" customHeight="1">
      <c r="A4" s="1947" t="s">
        <v>170</v>
      </c>
      <c r="B4" s="1948"/>
      <c r="C4" s="1948"/>
      <c r="D4" s="1948"/>
      <c r="E4" s="1948"/>
      <c r="F4" s="1948"/>
      <c r="G4" s="1948"/>
      <c r="H4" s="1948"/>
      <c r="I4" s="1948"/>
      <c r="J4" s="1948"/>
      <c r="K4" s="1948"/>
      <c r="L4" s="1948"/>
      <c r="M4" s="1948"/>
      <c r="N4" s="1948"/>
      <c r="O4" s="1949"/>
    </row>
    <row r="5" spans="1:25" s="4" customFormat="1" ht="20.100000000000001" customHeight="1">
      <c r="A5" s="1947"/>
      <c r="B5" s="1948"/>
      <c r="C5" s="1948"/>
      <c r="D5" s="1948"/>
      <c r="E5" s="1948"/>
      <c r="F5" s="1948"/>
      <c r="G5" s="1948"/>
      <c r="H5" s="1948"/>
      <c r="I5" s="1948"/>
      <c r="J5" s="1948"/>
      <c r="K5" s="1948"/>
      <c r="L5" s="1948"/>
      <c r="M5" s="1948"/>
      <c r="N5" s="1948"/>
      <c r="O5" s="1949"/>
    </row>
    <row r="6" spans="1:25" s="4" customFormat="1" ht="20.100000000000001" customHeight="1">
      <c r="A6" s="1947"/>
      <c r="B6" s="1948"/>
      <c r="C6" s="1948"/>
      <c r="D6" s="1948"/>
      <c r="E6" s="1948"/>
      <c r="F6" s="1948"/>
      <c r="G6" s="1948"/>
      <c r="H6" s="1948"/>
      <c r="I6" s="1948"/>
      <c r="J6" s="1948"/>
      <c r="K6" s="1948"/>
      <c r="L6" s="1948"/>
      <c r="M6" s="1948"/>
      <c r="N6" s="1948"/>
      <c r="O6" s="1949"/>
    </row>
    <row r="7" spans="1:25" s="4" customFormat="1" ht="20.100000000000001" customHeight="1">
      <c r="A7" s="1947"/>
      <c r="B7" s="1948"/>
      <c r="C7" s="1948"/>
      <c r="D7" s="1948"/>
      <c r="E7" s="1948"/>
      <c r="F7" s="1948"/>
      <c r="G7" s="1948"/>
      <c r="H7" s="1948"/>
      <c r="I7" s="1948"/>
      <c r="J7" s="1948"/>
      <c r="K7" s="1948"/>
      <c r="L7" s="1948"/>
      <c r="M7" s="1948"/>
      <c r="N7" s="1948"/>
      <c r="O7" s="1949"/>
    </row>
    <row r="8" spans="1:25" s="4" customFormat="1" ht="20.100000000000001" customHeight="1">
      <c r="A8" s="1947"/>
      <c r="B8" s="1948"/>
      <c r="C8" s="1948"/>
      <c r="D8" s="1948"/>
      <c r="E8" s="1948"/>
      <c r="F8" s="1948"/>
      <c r="G8" s="1948"/>
      <c r="H8" s="1948"/>
      <c r="I8" s="1948"/>
      <c r="J8" s="1948"/>
      <c r="K8" s="1948"/>
      <c r="L8" s="1948"/>
      <c r="M8" s="1948"/>
      <c r="N8" s="1948"/>
      <c r="O8" s="1949"/>
    </row>
    <row r="9" spans="1:25" s="4" customFormat="1" ht="20.100000000000001" customHeight="1">
      <c r="A9" s="1947"/>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36.75" customHeight="1">
      <c r="A15" s="469"/>
      <c r="B15" s="9"/>
      <c r="C15" s="10"/>
      <c r="D15" s="1953" t="s">
        <v>5</v>
      </c>
      <c r="E15" s="2012"/>
      <c r="F15" s="2012"/>
      <c r="G15" s="2012"/>
      <c r="H15" s="11"/>
      <c r="I15" s="12" t="s">
        <v>6</v>
      </c>
      <c r="J15" s="13"/>
      <c r="K15" s="13"/>
      <c r="L15" s="13"/>
      <c r="M15" s="13"/>
      <c r="N15" s="13"/>
      <c r="O15" s="14"/>
      <c r="P15" s="15"/>
      <c r="Q15" s="16"/>
      <c r="R15" s="17"/>
      <c r="S15" s="17"/>
      <c r="T15" s="17"/>
      <c r="U15" s="17"/>
      <c r="V15" s="17"/>
      <c r="W15" s="15"/>
      <c r="X15" s="15"/>
      <c r="Y15" s="16"/>
    </row>
    <row r="16" spans="1:25" s="56" customFormat="1" ht="142.5" customHeight="1">
      <c r="A16" s="1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1874" t="s">
        <v>232</v>
      </c>
      <c r="B17" s="1855"/>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1854"/>
      <c r="B18" s="1855"/>
      <c r="C18" s="36">
        <v>2015</v>
      </c>
      <c r="D18" s="37">
        <v>16</v>
      </c>
      <c r="E18" s="38">
        <v>2</v>
      </c>
      <c r="F18" s="38"/>
      <c r="G18" s="32">
        <v>18</v>
      </c>
      <c r="H18" s="39"/>
      <c r="I18" s="38">
        <v>8</v>
      </c>
      <c r="J18" s="38"/>
      <c r="K18" s="38">
        <v>7</v>
      </c>
      <c r="L18" s="38">
        <v>1</v>
      </c>
      <c r="M18" s="38"/>
      <c r="N18" s="38"/>
      <c r="O18" s="40">
        <v>2</v>
      </c>
      <c r="P18" s="35"/>
      <c r="Q18" s="35"/>
      <c r="R18" s="35"/>
      <c r="S18" s="35"/>
      <c r="T18" s="35"/>
      <c r="U18" s="35"/>
      <c r="V18" s="35"/>
      <c r="W18" s="35"/>
      <c r="X18" s="35"/>
      <c r="Y18" s="35"/>
    </row>
    <row r="19" spans="1:25">
      <c r="A19" s="1854"/>
      <c r="B19" s="1855"/>
      <c r="C19" s="36">
        <v>2016</v>
      </c>
      <c r="D19" s="37">
        <v>45</v>
      </c>
      <c r="E19" s="38">
        <v>3</v>
      </c>
      <c r="F19" s="38">
        <v>2</v>
      </c>
      <c r="G19" s="32">
        <f t="shared" si="0"/>
        <v>50</v>
      </c>
      <c r="H19" s="39"/>
      <c r="I19" s="38">
        <v>20</v>
      </c>
      <c r="J19" s="38">
        <v>1</v>
      </c>
      <c r="K19" s="38">
        <v>20</v>
      </c>
      <c r="L19" s="38">
        <v>6</v>
      </c>
      <c r="M19" s="38"/>
      <c r="N19" s="38"/>
      <c r="O19" s="40">
        <v>3</v>
      </c>
      <c r="P19" s="35"/>
      <c r="Q19" s="35"/>
      <c r="R19" s="35"/>
      <c r="S19" s="35"/>
      <c r="T19" s="35"/>
      <c r="U19" s="35"/>
      <c r="V19" s="35"/>
      <c r="W19" s="35"/>
      <c r="X19" s="35"/>
      <c r="Y19" s="35"/>
    </row>
    <row r="20" spans="1:25">
      <c r="A20" s="1854"/>
      <c r="B20" s="1855"/>
      <c r="C20" s="36">
        <v>2017</v>
      </c>
      <c r="D20" s="37">
        <v>36</v>
      </c>
      <c r="E20" s="38"/>
      <c r="F20" s="38">
        <v>1</v>
      </c>
      <c r="G20" s="32">
        <f t="shared" si="0"/>
        <v>37</v>
      </c>
      <c r="H20" s="39"/>
      <c r="I20" s="38">
        <v>10</v>
      </c>
      <c r="J20" s="38"/>
      <c r="K20" s="38">
        <v>16</v>
      </c>
      <c r="L20" s="38"/>
      <c r="M20" s="38"/>
      <c r="N20" s="38"/>
      <c r="O20" s="40">
        <v>11</v>
      </c>
      <c r="P20" s="35"/>
      <c r="Q20" s="35"/>
      <c r="R20" s="35"/>
      <c r="S20" s="35"/>
      <c r="T20" s="35"/>
      <c r="U20" s="35"/>
      <c r="V20" s="35"/>
      <c r="W20" s="35"/>
      <c r="X20" s="35"/>
      <c r="Y20" s="35"/>
    </row>
    <row r="21" spans="1:25">
      <c r="A21" s="1854"/>
      <c r="B21" s="1855"/>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1854"/>
      <c r="B22" s="1855"/>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1854"/>
      <c r="B23" s="1855"/>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60" customHeight="1" thickBot="1">
      <c r="A24" s="1856"/>
      <c r="B24" s="1857"/>
      <c r="C24" s="42" t="s">
        <v>13</v>
      </c>
      <c r="D24" s="43">
        <f>SUM(D17:D23)</f>
        <v>97</v>
      </c>
      <c r="E24" s="44">
        <f>SUM(E17:E23)</f>
        <v>5</v>
      </c>
      <c r="F24" s="44">
        <f>SUM(F17:F23)</f>
        <v>3</v>
      </c>
      <c r="G24" s="45">
        <f>SUM(D24:F24)</f>
        <v>105</v>
      </c>
      <c r="H24" s="46">
        <f>SUM(H17:H23)</f>
        <v>0</v>
      </c>
      <c r="I24" s="47">
        <f>SUM(I17:I23)</f>
        <v>38</v>
      </c>
      <c r="J24" s="47">
        <f t="shared" ref="J24:N24" si="1">SUM(J17:J23)</f>
        <v>1</v>
      </c>
      <c r="K24" s="47">
        <f t="shared" si="1"/>
        <v>43</v>
      </c>
      <c r="L24" s="47">
        <f t="shared" si="1"/>
        <v>7</v>
      </c>
      <c r="M24" s="47">
        <f t="shared" si="1"/>
        <v>0</v>
      </c>
      <c r="N24" s="47">
        <f t="shared" si="1"/>
        <v>0</v>
      </c>
      <c r="O24" s="48">
        <f>SUM(O17:O23)</f>
        <v>16</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469"/>
      <c r="B26" s="9"/>
      <c r="C26" s="50"/>
      <c r="D26" s="1959" t="s">
        <v>5</v>
      </c>
      <c r="E26" s="1960"/>
      <c r="F26" s="1960"/>
      <c r="G26" s="1961"/>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2013" t="s">
        <v>233</v>
      </c>
      <c r="B28" s="2014"/>
      <c r="C28" s="490">
        <v>2014</v>
      </c>
      <c r="D28" s="491"/>
      <c r="E28" s="492"/>
      <c r="F28" s="492"/>
      <c r="G28" s="493">
        <f>SUM(D28:F28)</f>
        <v>0</v>
      </c>
      <c r="H28" s="35"/>
      <c r="I28" s="35"/>
      <c r="J28" s="35"/>
      <c r="K28" s="35"/>
      <c r="L28" s="35"/>
      <c r="M28" s="35"/>
      <c r="N28" s="35"/>
      <c r="O28" s="35"/>
      <c r="P28" s="35"/>
      <c r="Q28" s="7"/>
    </row>
    <row r="29" spans="1:25">
      <c r="A29" s="2015"/>
      <c r="B29" s="2014"/>
      <c r="C29" s="494">
        <v>2015</v>
      </c>
      <c r="D29" s="495">
        <v>4604</v>
      </c>
      <c r="E29" s="496">
        <v>33</v>
      </c>
      <c r="F29" s="496"/>
      <c r="G29" s="493">
        <f>D29+E29</f>
        <v>4637</v>
      </c>
      <c r="H29" s="35"/>
      <c r="I29" s="35"/>
      <c r="J29" s="35"/>
      <c r="K29" s="35"/>
      <c r="L29" s="35"/>
      <c r="M29" s="35"/>
      <c r="N29" s="35"/>
      <c r="O29" s="35"/>
      <c r="P29" s="35"/>
      <c r="Q29" s="7"/>
    </row>
    <row r="30" spans="1:25">
      <c r="A30" s="2015"/>
      <c r="B30" s="2014"/>
      <c r="C30" s="494">
        <v>2016</v>
      </c>
      <c r="D30" s="495">
        <v>5431</v>
      </c>
      <c r="E30" s="496">
        <v>40</v>
      </c>
      <c r="F30" s="496">
        <v>400011</v>
      </c>
      <c r="G30" s="493">
        <f t="shared" ref="G30:G35" si="2">SUM(D30:F30)</f>
        <v>405482</v>
      </c>
      <c r="H30" s="35"/>
      <c r="I30" s="35"/>
      <c r="J30" s="35"/>
      <c r="K30" s="35"/>
      <c r="L30" s="35"/>
      <c r="M30" s="35"/>
      <c r="N30" s="35"/>
      <c r="O30" s="35"/>
      <c r="P30" s="35"/>
      <c r="Q30" s="7"/>
    </row>
    <row r="31" spans="1:25">
      <c r="A31" s="2015"/>
      <c r="B31" s="2014"/>
      <c r="C31" s="494">
        <v>2017</v>
      </c>
      <c r="D31" s="495">
        <v>21272</v>
      </c>
      <c r="E31" s="496"/>
      <c r="F31" s="496">
        <v>300000</v>
      </c>
      <c r="G31" s="493">
        <f t="shared" si="2"/>
        <v>321272</v>
      </c>
      <c r="H31" s="35"/>
      <c r="I31" s="35"/>
      <c r="J31" s="35"/>
      <c r="K31" s="35"/>
      <c r="L31" s="35"/>
      <c r="M31" s="35"/>
      <c r="N31" s="35"/>
      <c r="O31" s="35"/>
      <c r="P31" s="35"/>
      <c r="Q31" s="7"/>
    </row>
    <row r="32" spans="1:25">
      <c r="A32" s="2015"/>
      <c r="B32" s="2014"/>
      <c r="C32" s="494">
        <v>2018</v>
      </c>
      <c r="D32" s="495"/>
      <c r="E32" s="496"/>
      <c r="F32" s="496"/>
      <c r="G32" s="493">
        <f>SUM(D32:F32)</f>
        <v>0</v>
      </c>
      <c r="H32" s="35"/>
      <c r="I32" s="35"/>
      <c r="J32" s="35"/>
      <c r="K32" s="35"/>
      <c r="L32" s="35"/>
      <c r="M32" s="35"/>
      <c r="N32" s="35"/>
      <c r="O32" s="35"/>
      <c r="P32" s="35"/>
      <c r="Q32" s="7"/>
    </row>
    <row r="33" spans="1:17">
      <c r="A33" s="2015"/>
      <c r="B33" s="2014"/>
      <c r="C33" s="497">
        <v>2019</v>
      </c>
      <c r="D33" s="495"/>
      <c r="E33" s="496"/>
      <c r="F33" s="496"/>
      <c r="G33" s="493">
        <f t="shared" si="2"/>
        <v>0</v>
      </c>
      <c r="H33" s="35"/>
      <c r="I33" s="35"/>
      <c r="J33" s="35"/>
      <c r="K33" s="35"/>
      <c r="L33" s="35"/>
      <c r="M33" s="35"/>
      <c r="N33" s="35"/>
      <c r="O33" s="35"/>
      <c r="P33" s="35"/>
      <c r="Q33" s="7"/>
    </row>
    <row r="34" spans="1:17">
      <c r="A34" s="2015"/>
      <c r="B34" s="2014"/>
      <c r="C34" s="494">
        <v>2020</v>
      </c>
      <c r="D34" s="495"/>
      <c r="E34" s="496"/>
      <c r="F34" s="496"/>
      <c r="G34" s="493">
        <f t="shared" si="2"/>
        <v>0</v>
      </c>
      <c r="H34" s="35"/>
      <c r="I34" s="35"/>
      <c r="J34" s="35"/>
      <c r="K34" s="35"/>
      <c r="L34" s="35"/>
      <c r="M34" s="35"/>
      <c r="N34" s="35"/>
      <c r="O34" s="35"/>
      <c r="P34" s="35"/>
      <c r="Q34" s="7"/>
    </row>
    <row r="35" spans="1:17" ht="20.25" customHeight="1" thickBot="1">
      <c r="A35" s="2016"/>
      <c r="B35" s="2017"/>
      <c r="C35" s="498" t="s">
        <v>13</v>
      </c>
      <c r="D35" s="499">
        <f>SUM(D28:D34)</f>
        <v>31307</v>
      </c>
      <c r="E35" s="500">
        <f>SUM(E28:E34)</f>
        <v>73</v>
      </c>
      <c r="F35" s="500">
        <f>SUM(F28:F34)</f>
        <v>700011</v>
      </c>
      <c r="G35" s="501">
        <f t="shared" si="2"/>
        <v>731391</v>
      </c>
      <c r="H35" s="35"/>
      <c r="I35" s="35"/>
      <c r="J35" s="35"/>
      <c r="K35" s="35"/>
      <c r="L35" s="35"/>
      <c r="M35" s="35"/>
      <c r="N35" s="35"/>
      <c r="O35" s="35"/>
      <c r="P35" s="35"/>
      <c r="Q35" s="7"/>
    </row>
    <row r="36" spans="1:17">
      <c r="A36" s="62"/>
      <c r="B36" s="62"/>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471" t="s">
        <v>26</v>
      </c>
      <c r="B39" s="372" t="s">
        <v>171</v>
      </c>
      <c r="C39" s="68" t="s">
        <v>9</v>
      </c>
      <c r="D39" s="69" t="s">
        <v>28</v>
      </c>
      <c r="E39" s="70" t="s">
        <v>29</v>
      </c>
      <c r="F39" s="71"/>
      <c r="G39" s="28"/>
      <c r="H39" s="28"/>
    </row>
    <row r="40" spans="1:17">
      <c r="A40" s="1874"/>
      <c r="B40" s="1855"/>
      <c r="C40" s="72">
        <v>2014</v>
      </c>
      <c r="D40" s="30"/>
      <c r="E40" s="29"/>
      <c r="F40" s="7"/>
      <c r="G40" s="35"/>
      <c r="H40" s="35"/>
    </row>
    <row r="41" spans="1:17">
      <c r="A41" s="1854"/>
      <c r="B41" s="1855"/>
      <c r="C41" s="73">
        <v>2015</v>
      </c>
      <c r="D41" s="37">
        <v>8868</v>
      </c>
      <c r="E41" s="36">
        <v>1076</v>
      </c>
      <c r="F41" s="7"/>
      <c r="G41" s="35"/>
      <c r="H41" s="35"/>
    </row>
    <row r="42" spans="1:17">
      <c r="A42" s="1854"/>
      <c r="B42" s="1855"/>
      <c r="C42" s="73">
        <v>2016</v>
      </c>
      <c r="D42" s="37">
        <v>5361</v>
      </c>
      <c r="E42" s="36">
        <v>2206</v>
      </c>
      <c r="F42" s="7"/>
      <c r="G42" s="35"/>
      <c r="H42" s="35"/>
    </row>
    <row r="43" spans="1:17">
      <c r="A43" s="1854"/>
      <c r="B43" s="1855"/>
      <c r="C43" s="73">
        <v>2017</v>
      </c>
      <c r="D43" s="37">
        <v>3589</v>
      </c>
      <c r="E43" s="36">
        <v>1997</v>
      </c>
      <c r="F43" s="7"/>
      <c r="G43" s="35"/>
      <c r="H43" s="35"/>
    </row>
    <row r="44" spans="1:17">
      <c r="A44" s="1854"/>
      <c r="B44" s="1855"/>
      <c r="C44" s="73">
        <v>2018</v>
      </c>
      <c r="D44" s="37"/>
      <c r="E44" s="36"/>
      <c r="F44" s="7"/>
      <c r="G44" s="35"/>
      <c r="H44" s="35"/>
    </row>
    <row r="45" spans="1:17">
      <c r="A45" s="1854"/>
      <c r="B45" s="1855"/>
      <c r="C45" s="73">
        <v>2019</v>
      </c>
      <c r="D45" s="37"/>
      <c r="E45" s="36"/>
      <c r="F45" s="7"/>
      <c r="G45" s="35"/>
      <c r="H45" s="35"/>
    </row>
    <row r="46" spans="1:17">
      <c r="A46" s="1854"/>
      <c r="B46" s="1855"/>
      <c r="C46" s="73">
        <v>2020</v>
      </c>
      <c r="D46" s="37"/>
      <c r="E46" s="36"/>
      <c r="F46" s="7"/>
      <c r="G46" s="35"/>
      <c r="H46" s="35"/>
    </row>
    <row r="47" spans="1:17" ht="15.75" thickBot="1">
      <c r="A47" s="1856"/>
      <c r="B47" s="1857"/>
      <c r="C47" s="42" t="s">
        <v>13</v>
      </c>
      <c r="D47" s="43">
        <f>SUM(D40:D46)</f>
        <v>17818</v>
      </c>
      <c r="E47" s="455">
        <f>SUM(E40:E46)</f>
        <v>5279</v>
      </c>
      <c r="F47" s="78"/>
      <c r="G47" s="35"/>
      <c r="H47" s="35"/>
    </row>
    <row r="48" spans="1:17" s="35" customFormat="1" ht="15.75" thickBot="1">
      <c r="A48" s="79"/>
      <c r="B48" s="80"/>
      <c r="C48" s="81"/>
    </row>
    <row r="49" spans="1:15" ht="83.25" customHeight="1">
      <c r="A49" s="82" t="s">
        <v>32</v>
      </c>
      <c r="B49" s="372" t="s">
        <v>171</v>
      </c>
      <c r="C49" s="84" t="s">
        <v>9</v>
      </c>
      <c r="D49" s="69" t="s">
        <v>34</v>
      </c>
      <c r="E49" s="85" t="s">
        <v>35</v>
      </c>
      <c r="F49" s="85" t="s">
        <v>36</v>
      </c>
      <c r="G49" s="85" t="s">
        <v>37</v>
      </c>
      <c r="H49" s="85" t="s">
        <v>38</v>
      </c>
      <c r="I49" s="85" t="s">
        <v>39</v>
      </c>
      <c r="J49" s="85" t="s">
        <v>40</v>
      </c>
      <c r="K49" s="86" t="s">
        <v>41</v>
      </c>
    </row>
    <row r="50" spans="1:15" ht="17.25" customHeight="1">
      <c r="A50" s="1872"/>
      <c r="B50" s="1879"/>
      <c r="C50" s="87" t="s">
        <v>43</v>
      </c>
      <c r="D50" s="30"/>
      <c r="E50" s="31"/>
      <c r="F50" s="31"/>
      <c r="G50" s="31"/>
      <c r="H50" s="31"/>
      <c r="I50" s="31"/>
      <c r="J50" s="31"/>
      <c r="K50" s="34"/>
    </row>
    <row r="51" spans="1:15" ht="15" customHeight="1">
      <c r="A51" s="1874"/>
      <c r="B51" s="1881"/>
      <c r="C51" s="73">
        <v>2014</v>
      </c>
      <c r="D51" s="37"/>
      <c r="E51" s="38"/>
      <c r="F51" s="38"/>
      <c r="G51" s="38"/>
      <c r="H51" s="38"/>
      <c r="I51" s="38"/>
      <c r="J51" s="38"/>
      <c r="K51" s="88"/>
    </row>
    <row r="52" spans="1:15">
      <c r="A52" s="1874"/>
      <c r="B52" s="1881"/>
      <c r="C52" s="73">
        <v>2015</v>
      </c>
      <c r="D52" s="37">
        <v>1</v>
      </c>
      <c r="E52" s="38"/>
      <c r="F52" s="38"/>
      <c r="G52" s="38">
        <v>156</v>
      </c>
      <c r="H52" s="38"/>
      <c r="I52" s="38"/>
      <c r="J52" s="38">
        <v>15</v>
      </c>
      <c r="K52" s="88">
        <v>695</v>
      </c>
    </row>
    <row r="53" spans="1:15">
      <c r="A53" s="1874"/>
      <c r="B53" s="1881"/>
      <c r="C53" s="73">
        <v>2016</v>
      </c>
      <c r="D53" s="37">
        <v>1</v>
      </c>
      <c r="E53" s="38"/>
      <c r="F53" s="38"/>
      <c r="G53" s="38">
        <v>183</v>
      </c>
      <c r="H53" s="38"/>
      <c r="I53" s="38"/>
      <c r="J53" s="38">
        <v>21</v>
      </c>
      <c r="K53" s="88">
        <v>5833</v>
      </c>
    </row>
    <row r="54" spans="1:15">
      <c r="A54" s="1874"/>
      <c r="B54" s="1881"/>
      <c r="C54" s="73">
        <v>2017</v>
      </c>
      <c r="D54" s="37">
        <v>1</v>
      </c>
      <c r="E54" s="38"/>
      <c r="F54" s="38"/>
      <c r="G54" s="38">
        <v>367</v>
      </c>
      <c r="H54" s="38"/>
      <c r="I54" s="38"/>
      <c r="J54" s="38">
        <v>66</v>
      </c>
      <c r="K54" s="88">
        <v>20061</v>
      </c>
    </row>
    <row r="55" spans="1:15">
      <c r="A55" s="1874"/>
      <c r="B55" s="1881"/>
      <c r="C55" s="73">
        <v>2018</v>
      </c>
      <c r="D55" s="37"/>
      <c r="E55" s="38"/>
      <c r="F55" s="38"/>
      <c r="G55" s="38"/>
      <c r="H55" s="38"/>
      <c r="I55" s="38"/>
      <c r="J55" s="38"/>
      <c r="K55" s="88"/>
    </row>
    <row r="56" spans="1:15">
      <c r="A56" s="1874"/>
      <c r="B56" s="1881"/>
      <c r="C56" s="73">
        <v>2019</v>
      </c>
      <c r="D56" s="37"/>
      <c r="E56" s="38"/>
      <c r="F56" s="38"/>
      <c r="G56" s="38"/>
      <c r="H56" s="38"/>
      <c r="I56" s="38"/>
      <c r="J56" s="38"/>
      <c r="K56" s="88"/>
    </row>
    <row r="57" spans="1:15">
      <c r="A57" s="1874"/>
      <c r="B57" s="1881"/>
      <c r="C57" s="73">
        <v>2020</v>
      </c>
      <c r="D57" s="37"/>
      <c r="E57" s="38"/>
      <c r="F57" s="38"/>
      <c r="G57" s="38"/>
      <c r="H57" s="38"/>
      <c r="I57" s="38"/>
      <c r="J57" s="38"/>
      <c r="K57" s="93"/>
    </row>
    <row r="58" spans="1:15" ht="20.25" customHeight="1" thickBot="1">
      <c r="A58" s="1876"/>
      <c r="B58" s="1883"/>
      <c r="C58" s="42" t="s">
        <v>13</v>
      </c>
      <c r="D58" s="43">
        <f>SUM(D51:D57)</f>
        <v>3</v>
      </c>
      <c r="E58" s="44">
        <f>SUM(E51:E57)</f>
        <v>0</v>
      </c>
      <c r="F58" s="44">
        <f>SUM(F51:F57)</f>
        <v>0</v>
      </c>
      <c r="G58" s="44">
        <f>SUM(G51:G57)</f>
        <v>706</v>
      </c>
      <c r="H58" s="44">
        <f>SUM(H51:H57)</f>
        <v>0</v>
      </c>
      <c r="I58" s="44">
        <f t="shared" ref="I58" si="3">SUM(I51:I57)</f>
        <v>0</v>
      </c>
      <c r="J58" s="44">
        <f>SUM(J51:J57)</f>
        <v>102</v>
      </c>
      <c r="K58" s="48">
        <f>SUM(K50:K56)</f>
        <v>26589</v>
      </c>
    </row>
    <row r="59" spans="1:15" ht="15.75" thickBot="1"/>
    <row r="60" spans="1:15" ht="21" customHeight="1">
      <c r="A60" s="1969" t="s">
        <v>44</v>
      </c>
      <c r="B60" s="95"/>
      <c r="C60" s="1971" t="s">
        <v>9</v>
      </c>
      <c r="D60" s="1941" t="s">
        <v>45</v>
      </c>
      <c r="E60" s="96" t="s">
        <v>6</v>
      </c>
      <c r="F60" s="97"/>
      <c r="G60" s="97"/>
      <c r="H60" s="97"/>
      <c r="I60" s="97"/>
      <c r="J60" s="97"/>
      <c r="K60" s="97"/>
      <c r="L60" s="98"/>
    </row>
    <row r="61" spans="1:15" ht="115.5" customHeight="1">
      <c r="A61" s="1970"/>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1898" t="s">
        <v>234</v>
      </c>
      <c r="B62" s="1899"/>
      <c r="C62" s="106">
        <v>2014</v>
      </c>
      <c r="D62" s="107"/>
      <c r="E62" s="108"/>
      <c r="F62" s="109"/>
      <c r="G62" s="109"/>
      <c r="H62" s="109"/>
      <c r="I62" s="109"/>
      <c r="J62" s="109"/>
      <c r="K62" s="109"/>
      <c r="L62" s="34"/>
      <c r="M62" s="7"/>
      <c r="N62" s="7"/>
      <c r="O62" s="7"/>
    </row>
    <row r="63" spans="1:15">
      <c r="A63" s="1891"/>
      <c r="B63" s="1899"/>
      <c r="C63" s="110">
        <v>2015</v>
      </c>
      <c r="D63" s="111">
        <v>10</v>
      </c>
      <c r="E63" s="112"/>
      <c r="F63" s="38">
        <v>8</v>
      </c>
      <c r="G63" s="38"/>
      <c r="H63" s="38"/>
      <c r="I63" s="38">
        <v>2</v>
      </c>
      <c r="J63" s="38"/>
      <c r="K63" s="38"/>
      <c r="L63" s="88"/>
      <c r="M63" s="7"/>
      <c r="N63" s="7"/>
      <c r="O63" s="7"/>
    </row>
    <row r="64" spans="1:15">
      <c r="A64" s="1891"/>
      <c r="B64" s="1899"/>
      <c r="C64" s="110">
        <v>2016</v>
      </c>
      <c r="D64" s="111">
        <v>8</v>
      </c>
      <c r="E64" s="112"/>
      <c r="F64" s="38">
        <v>8</v>
      </c>
      <c r="G64" s="38"/>
      <c r="H64" s="38"/>
      <c r="I64" s="38"/>
      <c r="J64" s="38"/>
      <c r="K64" s="38"/>
      <c r="L64" s="88"/>
      <c r="M64" s="7"/>
      <c r="N64" s="7"/>
      <c r="O64" s="7"/>
    </row>
    <row r="65" spans="1:20">
      <c r="A65" s="1891"/>
      <c r="B65" s="1899"/>
      <c r="C65" s="110">
        <v>2017</v>
      </c>
      <c r="D65" s="111">
        <v>6</v>
      </c>
      <c r="E65" s="112"/>
      <c r="F65" s="38"/>
      <c r="G65" s="38"/>
      <c r="H65" s="38">
        <v>1</v>
      </c>
      <c r="I65" s="38"/>
      <c r="J65" s="38"/>
      <c r="K65" s="38"/>
      <c r="L65" s="88">
        <v>5</v>
      </c>
      <c r="M65" s="7"/>
      <c r="N65" s="7"/>
      <c r="O65" s="7"/>
    </row>
    <row r="66" spans="1:20">
      <c r="A66" s="1891"/>
      <c r="B66" s="1899"/>
      <c r="C66" s="110">
        <v>2018</v>
      </c>
      <c r="D66" s="111"/>
      <c r="E66" s="112"/>
      <c r="F66" s="38"/>
      <c r="G66" s="38"/>
      <c r="H66" s="38"/>
      <c r="I66" s="38"/>
      <c r="J66" s="38"/>
      <c r="K66" s="38"/>
      <c r="L66" s="88"/>
      <c r="M66" s="7"/>
      <c r="N66" s="7"/>
      <c r="O66" s="7"/>
    </row>
    <row r="67" spans="1:20" ht="17.25" customHeight="1">
      <c r="A67" s="1891"/>
      <c r="B67" s="1899"/>
      <c r="C67" s="110">
        <v>2019</v>
      </c>
      <c r="D67" s="111"/>
      <c r="E67" s="112"/>
      <c r="F67" s="38"/>
      <c r="G67" s="38"/>
      <c r="H67" s="38"/>
      <c r="I67" s="38"/>
      <c r="J67" s="38"/>
      <c r="K67" s="38"/>
      <c r="L67" s="88"/>
      <c r="M67" s="7"/>
      <c r="N67" s="7"/>
      <c r="O67" s="7"/>
    </row>
    <row r="68" spans="1:20" ht="16.5" customHeight="1">
      <c r="A68" s="1891"/>
      <c r="B68" s="1899"/>
      <c r="C68" s="110">
        <v>2020</v>
      </c>
      <c r="D68" s="111"/>
      <c r="E68" s="112"/>
      <c r="F68" s="38"/>
      <c r="G68" s="38"/>
      <c r="H68" s="38"/>
      <c r="I68" s="38"/>
      <c r="J68" s="38"/>
      <c r="K68" s="38"/>
      <c r="L68" s="88"/>
      <c r="M68" s="78"/>
      <c r="N68" s="78"/>
      <c r="O68" s="78"/>
    </row>
    <row r="69" spans="1:20" ht="18" customHeight="1" thickBot="1">
      <c r="A69" s="1980"/>
      <c r="B69" s="1900"/>
      <c r="C69" s="113" t="s">
        <v>13</v>
      </c>
      <c r="D69" s="114">
        <f>SUM(D62:D68)</f>
        <v>24</v>
      </c>
      <c r="E69" s="115">
        <f>SUM(E62:E68)</f>
        <v>0</v>
      </c>
      <c r="F69" s="116">
        <f t="shared" ref="F69:I69" si="4">SUM(F62:F68)</f>
        <v>16</v>
      </c>
      <c r="G69" s="116">
        <f t="shared" si="4"/>
        <v>0</v>
      </c>
      <c r="H69" s="116">
        <f t="shared" si="4"/>
        <v>1</v>
      </c>
      <c r="I69" s="116">
        <f t="shared" si="4"/>
        <v>2</v>
      </c>
      <c r="J69" s="116"/>
      <c r="K69" s="116">
        <f>SUM(K62:K68)</f>
        <v>0</v>
      </c>
      <c r="L69" s="117">
        <f>SUM(L62:L68)</f>
        <v>5</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471" t="s">
        <v>47</v>
      </c>
      <c r="B71" s="372"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1874"/>
      <c r="B72" s="1899"/>
      <c r="C72" s="72">
        <v>2014</v>
      </c>
      <c r="D72" s="131"/>
      <c r="E72" s="131"/>
      <c r="F72" s="131"/>
      <c r="G72" s="132">
        <f>SUM(D72:F72)</f>
        <v>0</v>
      </c>
      <c r="H72" s="30"/>
      <c r="I72" s="133"/>
      <c r="J72" s="109"/>
      <c r="K72" s="109"/>
      <c r="L72" s="109"/>
      <c r="M72" s="109"/>
      <c r="N72" s="109"/>
      <c r="O72" s="134"/>
    </row>
    <row r="73" spans="1:20">
      <c r="A73" s="1854"/>
      <c r="B73" s="1899"/>
      <c r="C73" s="73">
        <v>2015</v>
      </c>
      <c r="D73" s="135">
        <v>12</v>
      </c>
      <c r="E73" s="135"/>
      <c r="F73" s="135">
        <v>1075</v>
      </c>
      <c r="G73" s="132">
        <v>1087</v>
      </c>
      <c r="H73" s="37"/>
      <c r="I73" s="37">
        <v>12</v>
      </c>
      <c r="J73" s="38"/>
      <c r="K73" s="38"/>
      <c r="L73" s="38"/>
      <c r="M73" s="38"/>
      <c r="N73" s="38"/>
      <c r="O73" s="88">
        <v>1075</v>
      </c>
    </row>
    <row r="74" spans="1:20">
      <c r="A74" s="1854"/>
      <c r="B74" s="1899"/>
      <c r="C74" s="73">
        <v>2016</v>
      </c>
      <c r="D74" s="135"/>
      <c r="E74" s="135"/>
      <c r="F74" s="135"/>
      <c r="G74" s="132">
        <f t="shared" ref="G74:G78" si="5">SUM(D74:F74)</f>
        <v>0</v>
      </c>
      <c r="H74" s="37"/>
      <c r="I74" s="37"/>
      <c r="J74" s="38"/>
      <c r="K74" s="38"/>
      <c r="L74" s="38"/>
      <c r="M74" s="38"/>
      <c r="N74" s="38"/>
      <c r="O74" s="88"/>
    </row>
    <row r="75" spans="1:20">
      <c r="A75" s="1854"/>
      <c r="B75" s="1899"/>
      <c r="C75" s="73">
        <v>2017</v>
      </c>
      <c r="D75" s="135"/>
      <c r="E75" s="135">
        <v>3</v>
      </c>
      <c r="F75" s="135"/>
      <c r="G75" s="132">
        <f t="shared" si="5"/>
        <v>3</v>
      </c>
      <c r="H75" s="37"/>
      <c r="I75" s="37">
        <v>1</v>
      </c>
      <c r="J75" s="38"/>
      <c r="K75" s="38">
        <v>2</v>
      </c>
      <c r="L75" s="38"/>
      <c r="M75" s="38"/>
      <c r="N75" s="38"/>
      <c r="O75" s="88"/>
    </row>
    <row r="76" spans="1:20">
      <c r="A76" s="1854"/>
      <c r="B76" s="1899"/>
      <c r="C76" s="73">
        <v>2018</v>
      </c>
      <c r="D76" s="135"/>
      <c r="E76" s="135"/>
      <c r="F76" s="135"/>
      <c r="G76" s="132">
        <f t="shared" si="5"/>
        <v>0</v>
      </c>
      <c r="H76" s="37"/>
      <c r="I76" s="37"/>
      <c r="J76" s="38"/>
      <c r="K76" s="38"/>
      <c r="L76" s="38"/>
      <c r="M76" s="38"/>
      <c r="N76" s="38"/>
      <c r="O76" s="88"/>
    </row>
    <row r="77" spans="1:20" ht="15.75" customHeight="1">
      <c r="A77" s="1854"/>
      <c r="B77" s="1899"/>
      <c r="C77" s="73">
        <v>2019</v>
      </c>
      <c r="D77" s="135"/>
      <c r="E77" s="135"/>
      <c r="F77" s="135"/>
      <c r="G77" s="132">
        <f t="shared" si="5"/>
        <v>0</v>
      </c>
      <c r="H77" s="37"/>
      <c r="I77" s="37"/>
      <c r="J77" s="38"/>
      <c r="K77" s="38"/>
      <c r="L77" s="38"/>
      <c r="M77" s="38"/>
      <c r="N77" s="38"/>
      <c r="O77" s="88"/>
    </row>
    <row r="78" spans="1:20" ht="17.25" customHeight="1">
      <c r="A78" s="1854"/>
      <c r="B78" s="1899"/>
      <c r="C78" s="73">
        <v>2020</v>
      </c>
      <c r="D78" s="135"/>
      <c r="E78" s="135"/>
      <c r="F78" s="135"/>
      <c r="G78" s="132">
        <f t="shared" si="5"/>
        <v>0</v>
      </c>
      <c r="H78" s="37"/>
      <c r="I78" s="37"/>
      <c r="J78" s="38"/>
      <c r="K78" s="38"/>
      <c r="L78" s="38"/>
      <c r="M78" s="38"/>
      <c r="N78" s="38"/>
      <c r="O78" s="88"/>
    </row>
    <row r="79" spans="1:20" ht="20.25" customHeight="1" thickBot="1">
      <c r="A79" s="1980"/>
      <c r="B79" s="1900"/>
      <c r="C79" s="136" t="s">
        <v>13</v>
      </c>
      <c r="D79" s="114">
        <f>SUM(D72:D78)</f>
        <v>12</v>
      </c>
      <c r="E79" s="114">
        <f>SUM(E72:E78)</f>
        <v>3</v>
      </c>
      <c r="F79" s="114">
        <f>SUM(F72:F78)</f>
        <v>1075</v>
      </c>
      <c r="G79" s="137">
        <f>SUM(G72:G78)</f>
        <v>1090</v>
      </c>
      <c r="H79" s="138">
        <v>0</v>
      </c>
      <c r="I79" s="139">
        <f t="shared" ref="I79:O79" si="6">SUM(I72:I78)</f>
        <v>13</v>
      </c>
      <c r="J79" s="116">
        <f t="shared" si="6"/>
        <v>0</v>
      </c>
      <c r="K79" s="116">
        <f t="shared" si="6"/>
        <v>2</v>
      </c>
      <c r="L79" s="116">
        <f t="shared" si="6"/>
        <v>0</v>
      </c>
      <c r="M79" s="116">
        <f t="shared" si="6"/>
        <v>0</v>
      </c>
      <c r="N79" s="116">
        <f t="shared" si="6"/>
        <v>0</v>
      </c>
      <c r="O79" s="117">
        <f t="shared" si="6"/>
        <v>1075</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475" t="s">
        <v>56</v>
      </c>
      <c r="B84" s="394" t="s">
        <v>178</v>
      </c>
      <c r="C84" s="149" t="s">
        <v>9</v>
      </c>
      <c r="D84" s="150" t="s">
        <v>58</v>
      </c>
      <c r="E84" s="151" t="s">
        <v>59</v>
      </c>
      <c r="F84" s="152" t="s">
        <v>60</v>
      </c>
      <c r="G84" s="152" t="s">
        <v>61</v>
      </c>
      <c r="H84" s="152" t="s">
        <v>62</v>
      </c>
      <c r="I84" s="152" t="s">
        <v>63</v>
      </c>
      <c r="J84" s="152" t="s">
        <v>64</v>
      </c>
      <c r="K84" s="153" t="s">
        <v>65</v>
      </c>
    </row>
    <row r="85" spans="1:16" ht="15" customHeight="1">
      <c r="A85" s="2005" t="s">
        <v>235</v>
      </c>
      <c r="B85" s="2006"/>
      <c r="C85" s="72">
        <v>2014</v>
      </c>
      <c r="D85" s="154"/>
      <c r="E85" s="155"/>
      <c r="F85" s="31"/>
      <c r="G85" s="31"/>
      <c r="H85" s="31"/>
      <c r="I85" s="31"/>
      <c r="J85" s="31"/>
      <c r="K85" s="34"/>
    </row>
    <row r="86" spans="1:16">
      <c r="A86" s="2007"/>
      <c r="B86" s="2006"/>
      <c r="C86" s="73">
        <v>2015</v>
      </c>
      <c r="D86" s="156">
        <v>1</v>
      </c>
      <c r="E86" s="112">
        <v>1</v>
      </c>
      <c r="F86" s="38"/>
      <c r="G86" s="38"/>
      <c r="H86" s="38"/>
      <c r="I86" s="38"/>
      <c r="J86" s="38"/>
      <c r="K86" s="88"/>
      <c r="M86">
        <v>1</v>
      </c>
    </row>
    <row r="87" spans="1:16">
      <c r="A87" s="2007"/>
      <c r="B87" s="2006"/>
      <c r="C87" s="73">
        <v>2016</v>
      </c>
      <c r="D87" s="156">
        <v>3</v>
      </c>
      <c r="E87" s="112">
        <v>1</v>
      </c>
      <c r="F87" s="38"/>
      <c r="G87" s="38"/>
      <c r="H87" s="38">
        <v>2</v>
      </c>
      <c r="I87" s="38"/>
      <c r="J87" s="38"/>
      <c r="K87" s="88"/>
    </row>
    <row r="88" spans="1:16">
      <c r="A88" s="2007"/>
      <c r="B88" s="2006"/>
      <c r="C88" s="73">
        <v>2017</v>
      </c>
      <c r="D88" s="156">
        <v>5</v>
      </c>
      <c r="E88" s="112">
        <v>3</v>
      </c>
      <c r="F88" s="38">
        <v>1</v>
      </c>
      <c r="G88" s="38"/>
      <c r="H88" s="38">
        <v>1</v>
      </c>
      <c r="I88" s="38"/>
      <c r="J88" s="38"/>
      <c r="K88" s="88"/>
    </row>
    <row r="89" spans="1:16">
      <c r="A89" s="2007"/>
      <c r="B89" s="2006"/>
      <c r="C89" s="73">
        <v>2018</v>
      </c>
      <c r="D89" s="156"/>
      <c r="E89" s="112"/>
      <c r="F89" s="38"/>
      <c r="G89" s="38"/>
      <c r="H89" s="38"/>
      <c r="I89" s="38"/>
      <c r="J89" s="38"/>
      <c r="K89" s="88"/>
    </row>
    <row r="90" spans="1:16">
      <c r="A90" s="2007"/>
      <c r="B90" s="2006"/>
      <c r="C90" s="73">
        <v>2019</v>
      </c>
      <c r="D90" s="156"/>
      <c r="E90" s="112"/>
      <c r="F90" s="38"/>
      <c r="G90" s="38"/>
      <c r="H90" s="38"/>
      <c r="I90" s="38"/>
      <c r="J90" s="38"/>
      <c r="K90" s="88"/>
    </row>
    <row r="91" spans="1:16">
      <c r="A91" s="2007"/>
      <c r="B91" s="2006"/>
      <c r="C91" s="73">
        <v>2020</v>
      </c>
      <c r="D91" s="156"/>
      <c r="E91" s="112"/>
      <c r="F91" s="38"/>
      <c r="G91" s="38"/>
      <c r="H91" s="38"/>
      <c r="I91" s="38"/>
      <c r="J91" s="38"/>
      <c r="K91" s="88"/>
    </row>
    <row r="92" spans="1:16" ht="29.25" customHeight="1" thickBot="1">
      <c r="A92" s="2008"/>
      <c r="B92" s="2009"/>
      <c r="C92" s="136" t="s">
        <v>13</v>
      </c>
      <c r="D92" s="157">
        <f t="shared" ref="D92:I92" si="7">SUM(D85:D91)</f>
        <v>9</v>
      </c>
      <c r="E92" s="115">
        <f t="shared" si="7"/>
        <v>5</v>
      </c>
      <c r="F92" s="116">
        <f t="shared" si="7"/>
        <v>1</v>
      </c>
      <c r="G92" s="116">
        <f t="shared" si="7"/>
        <v>0</v>
      </c>
      <c r="H92" s="116">
        <f t="shared" si="7"/>
        <v>3</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1909" t="s">
        <v>68</v>
      </c>
      <c r="B96" s="1911" t="s">
        <v>179</v>
      </c>
      <c r="C96" s="1924" t="s">
        <v>9</v>
      </c>
      <c r="D96" s="1916" t="s">
        <v>70</v>
      </c>
      <c r="E96" s="1917"/>
      <c r="F96" s="162" t="s">
        <v>71</v>
      </c>
      <c r="G96" s="163"/>
      <c r="H96" s="163"/>
      <c r="I96" s="163"/>
      <c r="J96" s="163"/>
      <c r="K96" s="163"/>
      <c r="L96" s="163"/>
      <c r="M96" s="164"/>
      <c r="N96" s="165"/>
      <c r="O96" s="165"/>
      <c r="P96" s="165"/>
    </row>
    <row r="97" spans="1:16" ht="100.5" customHeight="1">
      <c r="A97" s="1910"/>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1898" t="s">
        <v>236</v>
      </c>
      <c r="B98" s="1899"/>
      <c r="C98" s="106">
        <v>2014</v>
      </c>
      <c r="D98" s="30"/>
      <c r="E98" s="31"/>
      <c r="F98" s="174"/>
      <c r="G98" s="175"/>
      <c r="H98" s="175"/>
      <c r="I98" s="175"/>
      <c r="J98" s="175"/>
      <c r="K98" s="175"/>
      <c r="L98" s="175"/>
      <c r="M98" s="176"/>
      <c r="N98" s="165"/>
      <c r="O98" s="165"/>
      <c r="P98" s="165"/>
    </row>
    <row r="99" spans="1:16" ht="16.5" customHeight="1">
      <c r="A99" s="1891"/>
      <c r="B99" s="1899"/>
      <c r="C99" s="110">
        <v>2015</v>
      </c>
      <c r="D99" s="37">
        <v>1</v>
      </c>
      <c r="E99" s="38">
        <v>1</v>
      </c>
      <c r="F99" s="177"/>
      <c r="G99" s="178"/>
      <c r="H99" s="178"/>
      <c r="I99" s="178"/>
      <c r="J99" s="178"/>
      <c r="K99" s="178"/>
      <c r="L99" s="178"/>
      <c r="M99" s="179">
        <v>1</v>
      </c>
      <c r="N99" s="165"/>
      <c r="O99" s="165"/>
      <c r="P99" s="165"/>
    </row>
    <row r="100" spans="1:16" ht="16.5" customHeight="1">
      <c r="A100" s="1891"/>
      <c r="B100" s="1899"/>
      <c r="C100" s="110">
        <v>2016</v>
      </c>
      <c r="D100" s="37">
        <v>1</v>
      </c>
      <c r="E100" s="38">
        <v>1</v>
      </c>
      <c r="F100" s="177"/>
      <c r="G100" s="178"/>
      <c r="H100" s="178"/>
      <c r="I100" s="178"/>
      <c r="J100" s="178"/>
      <c r="K100" s="178"/>
      <c r="L100" s="178"/>
      <c r="M100" s="179">
        <v>1</v>
      </c>
      <c r="N100" s="165"/>
      <c r="O100" s="165"/>
      <c r="P100" s="165"/>
    </row>
    <row r="101" spans="1:16" ht="16.5" customHeight="1">
      <c r="A101" s="1891"/>
      <c r="B101" s="1899"/>
      <c r="C101" s="110">
        <v>2017</v>
      </c>
      <c r="D101" s="37">
        <v>1</v>
      </c>
      <c r="E101" s="38">
        <v>1</v>
      </c>
      <c r="F101" s="177"/>
      <c r="G101" s="178"/>
      <c r="H101" s="178"/>
      <c r="I101" s="178"/>
      <c r="J101" s="178"/>
      <c r="K101" s="178"/>
      <c r="L101" s="178"/>
      <c r="M101" s="179">
        <v>1</v>
      </c>
      <c r="N101" s="165"/>
      <c r="O101" s="165"/>
      <c r="P101" s="165"/>
    </row>
    <row r="102" spans="1:16" ht="15.75" customHeight="1">
      <c r="A102" s="1891"/>
      <c r="B102" s="1899"/>
      <c r="C102" s="110">
        <v>2018</v>
      </c>
      <c r="D102" s="37"/>
      <c r="E102" s="38"/>
      <c r="F102" s="177"/>
      <c r="G102" s="178"/>
      <c r="H102" s="178"/>
      <c r="I102" s="178"/>
      <c r="J102" s="178"/>
      <c r="K102" s="178"/>
      <c r="L102" s="178"/>
      <c r="M102" s="179"/>
      <c r="N102" s="165"/>
      <c r="O102" s="165"/>
      <c r="P102" s="165"/>
    </row>
    <row r="103" spans="1:16" ht="14.25" customHeight="1">
      <c r="A103" s="1891"/>
      <c r="B103" s="1899"/>
      <c r="C103" s="110">
        <v>2019</v>
      </c>
      <c r="D103" s="37"/>
      <c r="E103" s="38"/>
      <c r="F103" s="177"/>
      <c r="G103" s="178"/>
      <c r="H103" s="178"/>
      <c r="I103" s="178"/>
      <c r="J103" s="178"/>
      <c r="K103" s="178"/>
      <c r="L103" s="178"/>
      <c r="M103" s="179"/>
      <c r="N103" s="165"/>
      <c r="O103" s="165"/>
      <c r="P103" s="165"/>
    </row>
    <row r="104" spans="1:16" ht="14.25" customHeight="1">
      <c r="A104" s="1891"/>
      <c r="B104" s="1899"/>
      <c r="C104" s="110">
        <v>2020</v>
      </c>
      <c r="D104" s="37"/>
      <c r="E104" s="38"/>
      <c r="F104" s="177"/>
      <c r="G104" s="178"/>
      <c r="H104" s="178"/>
      <c r="I104" s="178"/>
      <c r="J104" s="178"/>
      <c r="K104" s="178"/>
      <c r="L104" s="178"/>
      <c r="M104" s="179"/>
      <c r="N104" s="165"/>
      <c r="O104" s="165"/>
      <c r="P104" s="165"/>
    </row>
    <row r="105" spans="1:16" ht="19.5" customHeight="1" thickBot="1">
      <c r="A105" s="1915"/>
      <c r="B105" s="1900"/>
      <c r="C105" s="113" t="s">
        <v>13</v>
      </c>
      <c r="D105" s="139">
        <f>SUM(D98:D104)</f>
        <v>3</v>
      </c>
      <c r="E105" s="116">
        <f t="shared" ref="E105:K105" si="8">SUM(E98:E104)</f>
        <v>3</v>
      </c>
      <c r="F105" s="180">
        <f t="shared" si="8"/>
        <v>0</v>
      </c>
      <c r="G105" s="181">
        <f t="shared" si="8"/>
        <v>0</v>
      </c>
      <c r="H105" s="181">
        <f t="shared" si="8"/>
        <v>0</v>
      </c>
      <c r="I105" s="181">
        <f>SUM(I98:I104)</f>
        <v>0</v>
      </c>
      <c r="J105" s="181">
        <f t="shared" si="8"/>
        <v>0</v>
      </c>
      <c r="K105" s="181">
        <f t="shared" si="8"/>
        <v>0</v>
      </c>
      <c r="L105" s="181">
        <f>SUM(L98:L104)</f>
        <v>0</v>
      </c>
      <c r="M105" s="182">
        <f>SUM(M98:M104)</f>
        <v>3</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1909" t="s">
        <v>77</v>
      </c>
      <c r="B107" s="1911" t="s">
        <v>179</v>
      </c>
      <c r="C107" s="1924" t="s">
        <v>9</v>
      </c>
      <c r="D107" s="1926" t="s">
        <v>78</v>
      </c>
      <c r="E107" s="162" t="s">
        <v>79</v>
      </c>
      <c r="F107" s="163"/>
      <c r="G107" s="163"/>
      <c r="H107" s="163"/>
      <c r="I107" s="163"/>
      <c r="J107" s="163"/>
      <c r="K107" s="163"/>
      <c r="L107" s="164"/>
      <c r="M107" s="185"/>
      <c r="N107" s="185"/>
    </row>
    <row r="108" spans="1:16" ht="103.5"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1898"/>
      <c r="B109" s="1899"/>
      <c r="C109" s="106">
        <v>2014</v>
      </c>
      <c r="D109" s="31"/>
      <c r="E109" s="174"/>
      <c r="F109" s="175"/>
      <c r="G109" s="175"/>
      <c r="H109" s="175"/>
      <c r="I109" s="175"/>
      <c r="J109" s="175"/>
      <c r="K109" s="175"/>
      <c r="L109" s="176"/>
      <c r="M109" s="185"/>
      <c r="N109" s="185"/>
    </row>
    <row r="110" spans="1:16">
      <c r="A110" s="1891"/>
      <c r="B110" s="1899"/>
      <c r="C110" s="110">
        <v>2015</v>
      </c>
      <c r="D110" s="38"/>
      <c r="E110" s="177"/>
      <c r="F110" s="178"/>
      <c r="G110" s="178"/>
      <c r="H110" s="178"/>
      <c r="I110" s="178"/>
      <c r="J110" s="178"/>
      <c r="K110" s="178"/>
      <c r="L110" s="179"/>
      <c r="M110" s="185"/>
      <c r="N110" s="185"/>
    </row>
    <row r="111" spans="1:16">
      <c r="A111" s="1891"/>
      <c r="B111" s="1899"/>
      <c r="C111" s="110">
        <v>2016</v>
      </c>
      <c r="D111" s="38"/>
      <c r="E111" s="177"/>
      <c r="F111" s="178"/>
      <c r="G111" s="178"/>
      <c r="H111" s="178"/>
      <c r="I111" s="178"/>
      <c r="J111" s="178"/>
      <c r="K111" s="178"/>
      <c r="L111" s="179"/>
      <c r="M111" s="185"/>
      <c r="N111" s="185"/>
    </row>
    <row r="112" spans="1:16">
      <c r="A112" s="1891"/>
      <c r="B112" s="1899"/>
      <c r="C112" s="110">
        <v>2017</v>
      </c>
      <c r="D112" s="38"/>
      <c r="E112" s="177"/>
      <c r="F112" s="178"/>
      <c r="G112" s="178"/>
      <c r="H112" s="178"/>
      <c r="I112" s="178"/>
      <c r="J112" s="178"/>
      <c r="K112" s="178"/>
      <c r="L112" s="179"/>
      <c r="M112" s="185"/>
      <c r="N112" s="185"/>
    </row>
    <row r="113" spans="1:14">
      <c r="A113" s="1891"/>
      <c r="B113" s="1899"/>
      <c r="C113" s="110">
        <v>2018</v>
      </c>
      <c r="D113" s="38"/>
      <c r="E113" s="177"/>
      <c r="F113" s="178"/>
      <c r="G113" s="178"/>
      <c r="H113" s="178"/>
      <c r="I113" s="178"/>
      <c r="J113" s="178"/>
      <c r="K113" s="178"/>
      <c r="L113" s="179"/>
      <c r="M113" s="185"/>
      <c r="N113" s="185"/>
    </row>
    <row r="114" spans="1:14">
      <c r="A114" s="1891"/>
      <c r="B114" s="1899"/>
      <c r="C114" s="110">
        <v>2019</v>
      </c>
      <c r="D114" s="38"/>
      <c r="E114" s="177"/>
      <c r="F114" s="178"/>
      <c r="G114" s="178"/>
      <c r="H114" s="178"/>
      <c r="I114" s="178"/>
      <c r="J114" s="178"/>
      <c r="K114" s="178"/>
      <c r="L114" s="179"/>
      <c r="M114" s="185"/>
      <c r="N114" s="185"/>
    </row>
    <row r="115" spans="1:14">
      <c r="A115" s="1891"/>
      <c r="B115" s="1899"/>
      <c r="C115" s="110">
        <v>2020</v>
      </c>
      <c r="D115" s="38"/>
      <c r="E115" s="177"/>
      <c r="F115" s="178"/>
      <c r="G115" s="178"/>
      <c r="H115" s="178"/>
      <c r="I115" s="178"/>
      <c r="J115" s="178"/>
      <c r="K115" s="178"/>
      <c r="L115" s="179"/>
      <c r="M115" s="185"/>
      <c r="N115" s="185"/>
    </row>
    <row r="116" spans="1:14" ht="137.25" customHeight="1" thickBot="1">
      <c r="A116" s="1915"/>
      <c r="B116" s="1900"/>
      <c r="C116" s="113" t="s">
        <v>13</v>
      </c>
      <c r="D116" s="116">
        <f t="shared" ref="D116:I116" si="9">SUM(D109:D115)</f>
        <v>0</v>
      </c>
      <c r="E116" s="180">
        <f t="shared" si="9"/>
        <v>0</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1909" t="s">
        <v>81</v>
      </c>
      <c r="B118" s="1911" t="s">
        <v>179</v>
      </c>
      <c r="C118" s="1924" t="s">
        <v>9</v>
      </c>
      <c r="D118" s="1926" t="s">
        <v>82</v>
      </c>
      <c r="E118" s="162" t="s">
        <v>79</v>
      </c>
      <c r="F118" s="163"/>
      <c r="G118" s="163"/>
      <c r="H118" s="163"/>
      <c r="I118" s="163"/>
      <c r="J118" s="163"/>
      <c r="K118" s="163"/>
      <c r="L118" s="164"/>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1898"/>
      <c r="B120" s="1899"/>
      <c r="C120" s="106">
        <v>2014</v>
      </c>
      <c r="D120" s="31"/>
      <c r="E120" s="174"/>
      <c r="F120" s="175"/>
      <c r="G120" s="175"/>
      <c r="H120" s="175"/>
      <c r="I120" s="175"/>
      <c r="J120" s="175"/>
      <c r="K120" s="175"/>
      <c r="L120" s="176"/>
      <c r="M120" s="185"/>
      <c r="N120" s="185"/>
    </row>
    <row r="121" spans="1:14">
      <c r="A121" s="1891"/>
      <c r="B121" s="1899"/>
      <c r="C121" s="110">
        <v>2015</v>
      </c>
      <c r="D121" s="38"/>
      <c r="E121" s="177"/>
      <c r="F121" s="178"/>
      <c r="G121" s="178"/>
      <c r="H121" s="178"/>
      <c r="I121" s="178"/>
      <c r="J121" s="178"/>
      <c r="K121" s="178"/>
      <c r="L121" s="179"/>
      <c r="M121" s="185"/>
      <c r="N121" s="185"/>
    </row>
    <row r="122" spans="1:14">
      <c r="A122" s="1891"/>
      <c r="B122" s="1899"/>
      <c r="C122" s="110">
        <v>2016</v>
      </c>
      <c r="D122" s="38"/>
      <c r="E122" s="177"/>
      <c r="F122" s="178"/>
      <c r="G122" s="178"/>
      <c r="H122" s="178"/>
      <c r="I122" s="178"/>
      <c r="J122" s="178"/>
      <c r="K122" s="178"/>
      <c r="L122" s="179"/>
      <c r="M122" s="185"/>
      <c r="N122" s="185"/>
    </row>
    <row r="123" spans="1:14">
      <c r="A123" s="1891"/>
      <c r="B123" s="1899"/>
      <c r="C123" s="110">
        <v>2017</v>
      </c>
      <c r="D123" s="38"/>
      <c r="E123" s="177"/>
      <c r="F123" s="178"/>
      <c r="G123" s="178"/>
      <c r="H123" s="178"/>
      <c r="I123" s="178"/>
      <c r="J123" s="178"/>
      <c r="K123" s="178"/>
      <c r="L123" s="179"/>
      <c r="M123" s="185"/>
      <c r="N123" s="185"/>
    </row>
    <row r="124" spans="1:14">
      <c r="A124" s="1891"/>
      <c r="B124" s="1899"/>
      <c r="C124" s="110">
        <v>2018</v>
      </c>
      <c r="D124" s="38"/>
      <c r="E124" s="177"/>
      <c r="F124" s="178"/>
      <c r="G124" s="178"/>
      <c r="H124" s="178"/>
      <c r="I124" s="178"/>
      <c r="J124" s="178"/>
      <c r="K124" s="178"/>
      <c r="L124" s="179"/>
      <c r="M124" s="185"/>
      <c r="N124" s="185"/>
    </row>
    <row r="125" spans="1:14">
      <c r="A125" s="1891"/>
      <c r="B125" s="1899"/>
      <c r="C125" s="110">
        <v>2019</v>
      </c>
      <c r="D125" s="38"/>
      <c r="E125" s="177"/>
      <c r="F125" s="178"/>
      <c r="G125" s="178"/>
      <c r="H125" s="178"/>
      <c r="I125" s="178"/>
      <c r="J125" s="178"/>
      <c r="K125" s="178"/>
      <c r="L125" s="179"/>
      <c r="M125" s="185"/>
      <c r="N125" s="185"/>
    </row>
    <row r="126" spans="1:14">
      <c r="A126" s="1891"/>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1909" t="s">
        <v>84</v>
      </c>
      <c r="B129" s="1911" t="s">
        <v>179</v>
      </c>
      <c r="C129" s="188" t="s">
        <v>9</v>
      </c>
      <c r="D129" s="189" t="s">
        <v>85</v>
      </c>
      <c r="E129" s="190"/>
      <c r="F129" s="190"/>
      <c r="G129" s="191"/>
      <c r="H129" s="185"/>
      <c r="I129" s="185"/>
      <c r="J129" s="185"/>
      <c r="K129" s="185"/>
      <c r="L129" s="185"/>
      <c r="M129" s="185"/>
      <c r="N129" s="185"/>
    </row>
    <row r="130" spans="1:16" ht="77.25" customHeight="1">
      <c r="A130" s="1910"/>
      <c r="B130" s="1912"/>
      <c r="C130" s="192"/>
      <c r="D130" s="166" t="s">
        <v>86</v>
      </c>
      <c r="E130" s="193" t="s">
        <v>87</v>
      </c>
      <c r="F130" s="167" t="s">
        <v>88</v>
      </c>
      <c r="G130" s="194" t="s">
        <v>13</v>
      </c>
      <c r="H130" s="185"/>
      <c r="I130" s="185"/>
      <c r="J130" s="185"/>
      <c r="K130" s="185"/>
      <c r="L130" s="185"/>
      <c r="M130" s="185"/>
      <c r="N130" s="185"/>
    </row>
    <row r="131" spans="1:16" ht="15" customHeight="1">
      <c r="A131" s="1874"/>
      <c r="B131" s="1855"/>
      <c r="C131" s="106">
        <v>2015</v>
      </c>
      <c r="D131" s="30">
        <v>44</v>
      </c>
      <c r="E131" s="31"/>
      <c r="F131" s="31"/>
      <c r="G131" s="195">
        <v>44</v>
      </c>
      <c r="H131" s="185"/>
      <c r="I131" s="185"/>
      <c r="J131" s="185"/>
      <c r="K131" s="185"/>
      <c r="L131" s="185"/>
      <c r="M131" s="185"/>
      <c r="N131" s="185"/>
    </row>
    <row r="132" spans="1:16">
      <c r="A132" s="1854"/>
      <c r="B132" s="1855"/>
      <c r="C132" s="110">
        <v>2016</v>
      </c>
      <c r="D132" s="37">
        <v>77</v>
      </c>
      <c r="E132" s="38"/>
      <c r="F132" s="38"/>
      <c r="G132" s="195">
        <f t="shared" ref="G132:G136" si="11">SUM(D132:F132)</f>
        <v>77</v>
      </c>
      <c r="H132" s="185"/>
      <c r="I132" s="185"/>
      <c r="J132" s="185"/>
      <c r="K132" s="185"/>
      <c r="L132" s="185"/>
      <c r="M132" s="185"/>
      <c r="N132" s="185"/>
    </row>
    <row r="133" spans="1:16">
      <c r="A133" s="1854"/>
      <c r="B133" s="1855"/>
      <c r="C133" s="502">
        <v>2017</v>
      </c>
      <c r="D133" s="503">
        <v>27</v>
      </c>
      <c r="E133" s="504"/>
      <c r="F133" s="504"/>
      <c r="G133" s="505">
        <f t="shared" si="11"/>
        <v>27</v>
      </c>
      <c r="H133" s="185"/>
      <c r="I133" s="185"/>
      <c r="J133" s="185"/>
      <c r="K133" s="185"/>
      <c r="L133" s="185"/>
      <c r="M133" s="185"/>
      <c r="N133" s="185"/>
    </row>
    <row r="134" spans="1:16">
      <c r="A134" s="1854"/>
      <c r="B134" s="1855"/>
      <c r="C134" s="110">
        <v>2018</v>
      </c>
      <c r="D134" s="37"/>
      <c r="E134" s="38"/>
      <c r="F134" s="38"/>
      <c r="G134" s="195">
        <f t="shared" si="11"/>
        <v>0</v>
      </c>
      <c r="H134" s="185"/>
      <c r="I134" s="185"/>
      <c r="J134" s="185"/>
      <c r="K134" s="185"/>
      <c r="L134" s="185"/>
      <c r="M134" s="185"/>
      <c r="N134" s="185"/>
    </row>
    <row r="135" spans="1:16">
      <c r="A135" s="1854"/>
      <c r="B135" s="1855"/>
      <c r="C135" s="110">
        <v>2019</v>
      </c>
      <c r="D135" s="37"/>
      <c r="E135" s="38"/>
      <c r="F135" s="38"/>
      <c r="G135" s="195">
        <f t="shared" si="11"/>
        <v>0</v>
      </c>
      <c r="H135" s="185"/>
      <c r="I135" s="185"/>
      <c r="J135" s="185"/>
      <c r="K135" s="185"/>
      <c r="L135" s="185"/>
      <c r="M135" s="185"/>
      <c r="N135" s="185"/>
    </row>
    <row r="136" spans="1:16">
      <c r="A136" s="1854"/>
      <c r="B136" s="1855"/>
      <c r="C136" s="110">
        <v>2020</v>
      </c>
      <c r="D136" s="37"/>
      <c r="E136" s="38"/>
      <c r="F136" s="38"/>
      <c r="G136" s="195">
        <f t="shared" si="11"/>
        <v>0</v>
      </c>
      <c r="H136" s="185"/>
      <c r="I136" s="185"/>
      <c r="J136" s="185"/>
      <c r="K136" s="185"/>
      <c r="L136" s="185"/>
      <c r="M136" s="185"/>
      <c r="N136" s="185"/>
    </row>
    <row r="137" spans="1:16" ht="17.25" customHeight="1" thickBot="1">
      <c r="A137" s="1856"/>
      <c r="B137" s="1857"/>
      <c r="C137" s="113" t="s">
        <v>13</v>
      </c>
      <c r="D137" s="139">
        <f>SUM(D131:D136)</f>
        <v>148</v>
      </c>
      <c r="E137" s="139">
        <f t="shared" ref="E137:F137" si="12">SUM(E131:E136)</f>
        <v>0</v>
      </c>
      <c r="F137" s="139">
        <f t="shared" si="12"/>
        <v>0</v>
      </c>
      <c r="G137" s="196">
        <f>SUM(G131:G136)</f>
        <v>148</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1913" t="s">
        <v>91</v>
      </c>
      <c r="B142" s="1903" t="s">
        <v>179</v>
      </c>
      <c r="C142" s="1907" t="s">
        <v>9</v>
      </c>
      <c r="D142" s="203" t="s">
        <v>92</v>
      </c>
      <c r="E142" s="204"/>
      <c r="F142" s="204"/>
      <c r="G142" s="204"/>
      <c r="H142" s="204"/>
      <c r="I142" s="205"/>
      <c r="J142" s="1895" t="s">
        <v>93</v>
      </c>
      <c r="K142" s="1896"/>
      <c r="L142" s="1896"/>
      <c r="M142" s="1896"/>
      <c r="N142" s="1897"/>
      <c r="O142" s="165"/>
      <c r="P142" s="165"/>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c r="B144" s="1899"/>
      <c r="C144" s="106">
        <v>2014</v>
      </c>
      <c r="D144" s="30"/>
      <c r="E144" s="30"/>
      <c r="F144" s="31"/>
      <c r="G144" s="175"/>
      <c r="H144" s="175"/>
      <c r="I144" s="213">
        <f>D144+F144+G144+H144</f>
        <v>0</v>
      </c>
      <c r="J144" s="214"/>
      <c r="K144" s="215"/>
      <c r="L144" s="214"/>
      <c r="M144" s="215"/>
      <c r="N144" s="216"/>
      <c r="O144" s="165"/>
      <c r="P144" s="165"/>
    </row>
    <row r="145" spans="1:16" ht="19.5" customHeight="1">
      <c r="A145" s="1891"/>
      <c r="B145" s="1899"/>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1891"/>
      <c r="B146" s="1899"/>
      <c r="C146" s="110">
        <v>2016</v>
      </c>
      <c r="D146" s="37"/>
      <c r="E146" s="37"/>
      <c r="F146" s="38"/>
      <c r="G146" s="178"/>
      <c r="H146" s="178"/>
      <c r="I146" s="213">
        <f t="shared" si="13"/>
        <v>0</v>
      </c>
      <c r="J146" s="217"/>
      <c r="K146" s="218"/>
      <c r="L146" s="217"/>
      <c r="M146" s="218"/>
      <c r="N146" s="219"/>
      <c r="O146" s="165"/>
      <c r="P146" s="165"/>
    </row>
    <row r="147" spans="1:16" ht="17.25" customHeight="1">
      <c r="A147" s="1891"/>
      <c r="B147" s="1899"/>
      <c r="C147" s="110">
        <v>2017</v>
      </c>
      <c r="D147" s="37"/>
      <c r="E147" s="37"/>
      <c r="F147" s="38"/>
      <c r="G147" s="178"/>
      <c r="H147" s="178"/>
      <c r="I147" s="213">
        <f t="shared" si="13"/>
        <v>0</v>
      </c>
      <c r="J147" s="217"/>
      <c r="K147" s="218"/>
      <c r="L147" s="217"/>
      <c r="M147" s="218"/>
      <c r="N147" s="219"/>
      <c r="O147" s="165"/>
      <c r="P147" s="165"/>
    </row>
    <row r="148" spans="1:16" ht="19.5" customHeight="1">
      <c r="A148" s="1891"/>
      <c r="B148" s="1899"/>
      <c r="C148" s="110">
        <v>2018</v>
      </c>
      <c r="D148" s="37"/>
      <c r="E148" s="37"/>
      <c r="F148" s="38"/>
      <c r="G148" s="178"/>
      <c r="H148" s="178"/>
      <c r="I148" s="213">
        <f t="shared" si="13"/>
        <v>0</v>
      </c>
      <c r="J148" s="217"/>
      <c r="K148" s="218"/>
      <c r="L148" s="217"/>
      <c r="M148" s="218"/>
      <c r="N148" s="219"/>
      <c r="O148" s="165"/>
      <c r="P148" s="165"/>
    </row>
    <row r="149" spans="1:16" ht="19.5" customHeight="1">
      <c r="A149" s="1891"/>
      <c r="B149" s="1899"/>
      <c r="C149" s="110">
        <v>2019</v>
      </c>
      <c r="D149" s="37"/>
      <c r="E149" s="37"/>
      <c r="F149" s="38"/>
      <c r="G149" s="178"/>
      <c r="H149" s="178"/>
      <c r="I149" s="213">
        <f t="shared" si="13"/>
        <v>0</v>
      </c>
      <c r="J149" s="217"/>
      <c r="K149" s="218"/>
      <c r="L149" s="217"/>
      <c r="M149" s="218"/>
      <c r="N149" s="219"/>
      <c r="O149" s="165"/>
      <c r="P149" s="165"/>
    </row>
    <row r="150" spans="1:16" ht="18.75" customHeight="1">
      <c r="A150" s="1891"/>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1991" t="s">
        <v>105</v>
      </c>
      <c r="B153" s="1903" t="s">
        <v>179</v>
      </c>
      <c r="C153" s="1905" t="s">
        <v>9</v>
      </c>
      <c r="D153" s="225" t="s">
        <v>106</v>
      </c>
      <c r="E153" s="225"/>
      <c r="F153" s="226"/>
      <c r="G153" s="226"/>
      <c r="H153" s="225" t="s">
        <v>107</v>
      </c>
      <c r="I153" s="225"/>
      <c r="J153" s="227"/>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1898"/>
      <c r="B155" s="1899"/>
      <c r="C155" s="233">
        <v>2014</v>
      </c>
      <c r="D155" s="214"/>
      <c r="E155" s="175"/>
      <c r="F155" s="215"/>
      <c r="G155" s="213">
        <f>SUM(D155:F155)</f>
        <v>0</v>
      </c>
      <c r="H155" s="214"/>
      <c r="I155" s="175"/>
      <c r="J155" s="176"/>
      <c r="O155" s="165"/>
      <c r="P155" s="165"/>
    </row>
    <row r="156" spans="1:16" ht="19.5" customHeight="1">
      <c r="A156" s="1891"/>
      <c r="B156" s="1899"/>
      <c r="C156" s="234">
        <v>2015</v>
      </c>
      <c r="D156" s="217"/>
      <c r="E156" s="178"/>
      <c r="F156" s="218"/>
      <c r="G156" s="213">
        <f t="shared" ref="G156:G161" si="15">SUM(D156:F156)</f>
        <v>0</v>
      </c>
      <c r="H156" s="217"/>
      <c r="I156" s="178"/>
      <c r="J156" s="179"/>
      <c r="O156" s="165"/>
      <c r="P156" s="165"/>
    </row>
    <row r="157" spans="1:16" ht="17.25" customHeight="1">
      <c r="A157" s="1891"/>
      <c r="B157" s="1899"/>
      <c r="C157" s="234">
        <v>2016</v>
      </c>
      <c r="D157" s="217"/>
      <c r="E157" s="178"/>
      <c r="F157" s="218"/>
      <c r="G157" s="213">
        <f t="shared" si="15"/>
        <v>0</v>
      </c>
      <c r="H157" s="217"/>
      <c r="I157" s="178"/>
      <c r="J157" s="179"/>
      <c r="O157" s="165"/>
      <c r="P157" s="165"/>
    </row>
    <row r="158" spans="1:16" ht="15" customHeight="1">
      <c r="A158" s="1891"/>
      <c r="B158" s="1899"/>
      <c r="C158" s="234">
        <v>2017</v>
      </c>
      <c r="D158" s="217"/>
      <c r="E158" s="178"/>
      <c r="F158" s="218"/>
      <c r="G158" s="213">
        <f t="shared" si="15"/>
        <v>0</v>
      </c>
      <c r="H158" s="217"/>
      <c r="I158" s="178"/>
      <c r="J158" s="179"/>
      <c r="O158" s="165"/>
      <c r="P158" s="165"/>
    </row>
    <row r="159" spans="1:16" ht="19.5" customHeight="1">
      <c r="A159" s="1891"/>
      <c r="B159" s="1899"/>
      <c r="C159" s="234">
        <v>2018</v>
      </c>
      <c r="D159" s="217"/>
      <c r="E159" s="178"/>
      <c r="F159" s="218"/>
      <c r="G159" s="213">
        <f t="shared" si="15"/>
        <v>0</v>
      </c>
      <c r="H159" s="217"/>
      <c r="I159" s="178"/>
      <c r="J159" s="179"/>
      <c r="O159" s="165"/>
      <c r="P159" s="165"/>
    </row>
    <row r="160" spans="1:16" ht="15" customHeight="1">
      <c r="A160" s="1891"/>
      <c r="B160" s="1899"/>
      <c r="C160" s="234">
        <v>2019</v>
      </c>
      <c r="D160" s="217"/>
      <c r="E160" s="178"/>
      <c r="F160" s="218"/>
      <c r="G160" s="213">
        <f t="shared" si="15"/>
        <v>0</v>
      </c>
      <c r="H160" s="217"/>
      <c r="I160" s="178"/>
      <c r="J160" s="179"/>
      <c r="O160" s="165"/>
      <c r="P160" s="165"/>
    </row>
    <row r="161" spans="1:18" ht="17.25" customHeight="1">
      <c r="A161" s="1891"/>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240"/>
      <c r="F163" s="165"/>
      <c r="G163" s="165"/>
      <c r="H163" s="165"/>
      <c r="I163" s="165"/>
      <c r="J163" s="241"/>
      <c r="K163" s="242"/>
    </row>
    <row r="164" spans="1:18" ht="95.25" customHeight="1">
      <c r="A164" s="243" t="s">
        <v>115</v>
      </c>
      <c r="B164" s="405" t="s">
        <v>181</v>
      </c>
      <c r="C164" s="245" t="s">
        <v>9</v>
      </c>
      <c r="D164" s="246" t="s">
        <v>117</v>
      </c>
      <c r="E164" s="246" t="s">
        <v>118</v>
      </c>
      <c r="F164" s="247" t="s">
        <v>119</v>
      </c>
      <c r="G164" s="246" t="s">
        <v>120</v>
      </c>
      <c r="H164" s="246" t="s">
        <v>121</v>
      </c>
      <c r="I164" s="248" t="s">
        <v>122</v>
      </c>
      <c r="J164" s="249" t="s">
        <v>123</v>
      </c>
      <c r="K164" s="249" t="s">
        <v>124</v>
      </c>
      <c r="L164" s="406"/>
    </row>
    <row r="165" spans="1:18" ht="15.75" customHeight="1">
      <c r="A165" s="1878"/>
      <c r="B165" s="1879"/>
      <c r="C165" s="251">
        <v>2014</v>
      </c>
      <c r="D165" s="175"/>
      <c r="E165" s="175"/>
      <c r="F165" s="175"/>
      <c r="G165" s="175"/>
      <c r="H165" s="175"/>
      <c r="I165" s="176"/>
      <c r="J165" s="252">
        <f>SUM(D165,F165,H165)</f>
        <v>0</v>
      </c>
      <c r="K165" s="253">
        <f>SUM(E165,G165,I165)</f>
        <v>0</v>
      </c>
      <c r="L165" s="406"/>
    </row>
    <row r="166" spans="1:18">
      <c r="A166" s="1880"/>
      <c r="B166" s="1881"/>
      <c r="C166" s="254">
        <v>2015</v>
      </c>
      <c r="D166" s="255"/>
      <c r="E166" s="255"/>
      <c r="F166" s="255"/>
      <c r="G166" s="255"/>
      <c r="H166" s="255"/>
      <c r="I166" s="256"/>
      <c r="J166" s="407">
        <f t="shared" ref="J166:K171" si="17">SUM(D166,F166,H166)</f>
        <v>0</v>
      </c>
      <c r="K166" s="408">
        <f t="shared" si="17"/>
        <v>0</v>
      </c>
      <c r="L166" s="406"/>
    </row>
    <row r="167" spans="1:18">
      <c r="A167" s="1880"/>
      <c r="B167" s="1881"/>
      <c r="C167" s="254">
        <v>2016</v>
      </c>
      <c r="D167" s="255"/>
      <c r="E167" s="255"/>
      <c r="F167" s="255"/>
      <c r="G167" s="255"/>
      <c r="H167" s="255"/>
      <c r="I167" s="256"/>
      <c r="J167" s="407">
        <f t="shared" si="17"/>
        <v>0</v>
      </c>
      <c r="K167" s="408">
        <f t="shared" si="17"/>
        <v>0</v>
      </c>
    </row>
    <row r="168" spans="1:18">
      <c r="A168" s="1880"/>
      <c r="B168" s="1881"/>
      <c r="C168" s="254">
        <v>2017</v>
      </c>
      <c r="D168" s="255"/>
      <c r="E168" s="165"/>
      <c r="F168" s="255"/>
      <c r="G168" s="255"/>
      <c r="H168" s="255"/>
      <c r="I168" s="256"/>
      <c r="J168" s="407">
        <f t="shared" si="17"/>
        <v>0</v>
      </c>
      <c r="K168" s="408">
        <f t="shared" si="17"/>
        <v>0</v>
      </c>
    </row>
    <row r="169" spans="1:18">
      <c r="A169" s="1880"/>
      <c r="B169" s="1881"/>
      <c r="C169" s="262">
        <v>2018</v>
      </c>
      <c r="D169" s="255"/>
      <c r="E169" s="255"/>
      <c r="F169" s="255"/>
      <c r="G169" s="263"/>
      <c r="H169" s="255"/>
      <c r="I169" s="256"/>
      <c r="J169" s="407">
        <f t="shared" si="17"/>
        <v>0</v>
      </c>
      <c r="K169" s="408">
        <f t="shared" si="17"/>
        <v>0</v>
      </c>
      <c r="L169" s="406"/>
    </row>
    <row r="170" spans="1:18">
      <c r="A170" s="1880"/>
      <c r="B170" s="1881"/>
      <c r="C170" s="254">
        <v>2019</v>
      </c>
      <c r="D170" s="165"/>
      <c r="E170" s="255"/>
      <c r="F170" s="255"/>
      <c r="G170" s="255"/>
      <c r="H170" s="263"/>
      <c r="I170" s="256"/>
      <c r="J170" s="407">
        <f t="shared" si="17"/>
        <v>0</v>
      </c>
      <c r="K170" s="408">
        <f t="shared" si="17"/>
        <v>0</v>
      </c>
      <c r="L170" s="406"/>
    </row>
    <row r="171" spans="1:18">
      <c r="A171" s="1880"/>
      <c r="B171" s="1881"/>
      <c r="C171" s="262">
        <v>2020</v>
      </c>
      <c r="D171" s="255"/>
      <c r="E171" s="255"/>
      <c r="F171" s="255"/>
      <c r="G171" s="255"/>
      <c r="H171" s="255"/>
      <c r="I171" s="256"/>
      <c r="J171" s="407">
        <f t="shared" si="17"/>
        <v>0</v>
      </c>
      <c r="K171" s="408">
        <f t="shared" si="17"/>
        <v>0</v>
      </c>
      <c r="L171" s="406"/>
    </row>
    <row r="172" spans="1:18" ht="41.25" customHeight="1" thickBot="1">
      <c r="A172" s="1882"/>
      <c r="B172" s="1883"/>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406"/>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1884" t="s">
        <v>127</v>
      </c>
      <c r="B176" s="1863" t="s">
        <v>182</v>
      </c>
      <c r="C176" s="1886" t="s">
        <v>9</v>
      </c>
      <c r="D176" s="273" t="s">
        <v>128</v>
      </c>
      <c r="E176" s="274"/>
      <c r="F176" s="274"/>
      <c r="G176" s="275"/>
      <c r="H176" s="276"/>
      <c r="I176" s="1888" t="s">
        <v>129</v>
      </c>
      <c r="J176" s="1889"/>
      <c r="K176" s="1889"/>
      <c r="L176" s="1889"/>
      <c r="M176" s="1889"/>
      <c r="N176" s="1889"/>
      <c r="O176" s="1890"/>
    </row>
    <row r="177" spans="1:15" s="56" customFormat="1" ht="129.7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1891" t="s">
        <v>237</v>
      </c>
      <c r="B178" s="1899"/>
      <c r="C178" s="106">
        <v>2014</v>
      </c>
      <c r="D178" s="30"/>
      <c r="E178" s="31"/>
      <c r="F178" s="31"/>
      <c r="G178" s="284">
        <f>SUM(D178:F178)</f>
        <v>0</v>
      </c>
      <c r="H178" s="155"/>
      <c r="I178" s="155"/>
      <c r="J178" s="31"/>
      <c r="K178" s="31"/>
      <c r="L178" s="31"/>
      <c r="M178" s="31"/>
      <c r="N178" s="31"/>
      <c r="O178" s="34"/>
    </row>
    <row r="179" spans="1:15">
      <c r="A179" s="1891"/>
      <c r="B179" s="1899"/>
      <c r="C179" s="110">
        <v>2015</v>
      </c>
      <c r="D179" s="37">
        <v>1</v>
      </c>
      <c r="E179" s="38">
        <v>2</v>
      </c>
      <c r="F179" s="38"/>
      <c r="G179" s="284">
        <v>3</v>
      </c>
      <c r="H179" s="411">
        <v>1</v>
      </c>
      <c r="I179" s="112"/>
      <c r="J179" s="38">
        <v>1</v>
      </c>
      <c r="K179" s="38"/>
      <c r="L179" s="38"/>
      <c r="M179" s="38">
        <v>2</v>
      </c>
      <c r="N179" s="38"/>
      <c r="O179" s="88"/>
    </row>
    <row r="180" spans="1:15">
      <c r="A180" s="1891"/>
      <c r="B180" s="1899"/>
      <c r="C180" s="110">
        <v>2016</v>
      </c>
      <c r="D180" s="37">
        <v>9</v>
      </c>
      <c r="E180" s="38">
        <v>4</v>
      </c>
      <c r="F180" s="38">
        <v>2</v>
      </c>
      <c r="G180" s="284">
        <f t="shared" ref="G180:G184" si="19">SUM(D180:F180)</f>
        <v>15</v>
      </c>
      <c r="H180" s="411">
        <v>13</v>
      </c>
      <c r="I180" s="112"/>
      <c r="J180" s="38">
        <v>9</v>
      </c>
      <c r="K180" s="38"/>
      <c r="L180" s="38">
        <v>4</v>
      </c>
      <c r="M180" s="38">
        <v>2</v>
      </c>
      <c r="N180" s="38"/>
      <c r="O180" s="88"/>
    </row>
    <row r="181" spans="1:15">
      <c r="A181" s="1891"/>
      <c r="B181" s="1899"/>
      <c r="C181" s="110">
        <v>2017</v>
      </c>
      <c r="D181" s="37">
        <v>6</v>
      </c>
      <c r="E181" s="38">
        <v>6</v>
      </c>
      <c r="F181" s="38"/>
      <c r="G181" s="284">
        <f t="shared" si="19"/>
        <v>12</v>
      </c>
      <c r="H181" s="411">
        <v>9</v>
      </c>
      <c r="I181" s="112">
        <v>3</v>
      </c>
      <c r="J181" s="38">
        <v>3</v>
      </c>
      <c r="K181" s="38"/>
      <c r="L181" s="38">
        <v>6</v>
      </c>
      <c r="M181" s="38"/>
      <c r="N181" s="38"/>
      <c r="O181" s="88"/>
    </row>
    <row r="182" spans="1:15">
      <c r="A182" s="1891"/>
      <c r="B182" s="1899"/>
      <c r="C182" s="110">
        <v>2018</v>
      </c>
      <c r="D182" s="37"/>
      <c r="E182" s="38"/>
      <c r="F182" s="38"/>
      <c r="G182" s="284">
        <f t="shared" si="19"/>
        <v>0</v>
      </c>
      <c r="H182" s="411"/>
      <c r="I182" s="112"/>
      <c r="J182" s="38"/>
      <c r="K182" s="38"/>
      <c r="L182" s="38"/>
      <c r="M182" s="38"/>
      <c r="N182" s="38"/>
      <c r="O182" s="88"/>
    </row>
    <row r="183" spans="1:15">
      <c r="A183" s="1891"/>
      <c r="B183" s="1899"/>
      <c r="C183" s="110">
        <v>2019</v>
      </c>
      <c r="D183" s="37"/>
      <c r="E183" s="38"/>
      <c r="F183" s="38"/>
      <c r="G183" s="284">
        <f t="shared" si="19"/>
        <v>0</v>
      </c>
      <c r="H183" s="411"/>
      <c r="I183" s="112"/>
      <c r="J183" s="38"/>
      <c r="K183" s="38"/>
      <c r="L183" s="38"/>
      <c r="M183" s="38"/>
      <c r="N183" s="38"/>
      <c r="O183" s="88"/>
    </row>
    <row r="184" spans="1:15">
      <c r="A184" s="1891"/>
      <c r="B184" s="1899"/>
      <c r="C184" s="110">
        <v>2020</v>
      </c>
      <c r="D184" s="37"/>
      <c r="E184" s="38"/>
      <c r="F184" s="38"/>
      <c r="G184" s="284">
        <f t="shared" si="19"/>
        <v>0</v>
      </c>
      <c r="H184" s="411"/>
      <c r="I184" s="112"/>
      <c r="J184" s="38"/>
      <c r="K184" s="38"/>
      <c r="L184" s="38"/>
      <c r="M184" s="38"/>
      <c r="N184" s="38"/>
      <c r="O184" s="88"/>
    </row>
    <row r="185" spans="1:15" ht="45" customHeight="1" thickBot="1">
      <c r="A185" s="1893"/>
      <c r="B185" s="1900"/>
      <c r="C185" s="113" t="s">
        <v>13</v>
      </c>
      <c r="D185" s="139">
        <f>SUM(D178:D184)</f>
        <v>16</v>
      </c>
      <c r="E185" s="116">
        <f>SUM(E178:E184)</f>
        <v>12</v>
      </c>
      <c r="F185" s="116">
        <f>SUM(F178:F184)</f>
        <v>2</v>
      </c>
      <c r="G185" s="220">
        <f t="shared" ref="G185:O185" si="20">SUM(G178:G184)</f>
        <v>30</v>
      </c>
      <c r="H185" s="285">
        <f t="shared" si="20"/>
        <v>23</v>
      </c>
      <c r="I185" s="115">
        <f t="shared" si="20"/>
        <v>3</v>
      </c>
      <c r="J185" s="116">
        <f t="shared" si="20"/>
        <v>13</v>
      </c>
      <c r="K185" s="116">
        <f t="shared" si="20"/>
        <v>0</v>
      </c>
      <c r="L185" s="116">
        <f t="shared" si="20"/>
        <v>10</v>
      </c>
      <c r="M185" s="116">
        <f t="shared" si="20"/>
        <v>4</v>
      </c>
      <c r="N185" s="116">
        <f t="shared" si="20"/>
        <v>0</v>
      </c>
      <c r="O185" s="117">
        <f t="shared" si="20"/>
        <v>0</v>
      </c>
    </row>
    <row r="186" spans="1:15" ht="33" customHeight="1" thickBot="1"/>
    <row r="187" spans="1:15" ht="19.5" customHeight="1">
      <c r="A187" s="1861" t="s">
        <v>137</v>
      </c>
      <c r="B187" s="1863" t="s">
        <v>182</v>
      </c>
      <c r="C187" s="1865" t="s">
        <v>9</v>
      </c>
      <c r="D187" s="1867" t="s">
        <v>138</v>
      </c>
      <c r="E187" s="1868"/>
      <c r="F187" s="1868"/>
      <c r="G187" s="1869"/>
      <c r="H187" s="1870"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1976" t="s">
        <v>238</v>
      </c>
      <c r="B189" s="1977"/>
      <c r="C189" s="290">
        <v>2014</v>
      </c>
      <c r="D189" s="133"/>
      <c r="E189" s="109"/>
      <c r="F189" s="109"/>
      <c r="G189" s="291">
        <f>SUM(D189:F189)</f>
        <v>0</v>
      </c>
      <c r="H189" s="108"/>
      <c r="I189" s="109"/>
      <c r="J189" s="109"/>
      <c r="K189" s="109"/>
      <c r="L189" s="134"/>
    </row>
    <row r="190" spans="1:15">
      <c r="A190" s="1978"/>
      <c r="B190" s="1855"/>
      <c r="C190" s="73">
        <v>2015</v>
      </c>
      <c r="D190" s="37">
        <v>2</v>
      </c>
      <c r="E190" s="38">
        <v>10</v>
      </c>
      <c r="F190" s="38"/>
      <c r="G190" s="291">
        <v>12</v>
      </c>
      <c r="H190" s="112"/>
      <c r="I190" s="38"/>
      <c r="J190" s="38"/>
      <c r="K190" s="38">
        <v>12</v>
      </c>
      <c r="L190" s="88"/>
    </row>
    <row r="191" spans="1:15">
      <c r="A191" s="1978"/>
      <c r="B191" s="1855"/>
      <c r="C191" s="73">
        <v>2016</v>
      </c>
      <c r="D191" s="37">
        <v>390</v>
      </c>
      <c r="E191" s="38">
        <v>140</v>
      </c>
      <c r="F191" s="38">
        <v>25</v>
      </c>
      <c r="G191" s="291">
        <f t="shared" ref="G191:G195" si="21">SUM(D191:F191)</f>
        <v>555</v>
      </c>
      <c r="H191" s="112"/>
      <c r="I191" s="38">
        <v>55</v>
      </c>
      <c r="J191" s="38">
        <v>25</v>
      </c>
      <c r="K191" s="38">
        <v>475</v>
      </c>
      <c r="L191" s="88"/>
    </row>
    <row r="192" spans="1:15">
      <c r="A192" s="1978"/>
      <c r="B192" s="1855"/>
      <c r="C192" s="73">
        <v>2017</v>
      </c>
      <c r="D192" s="37">
        <v>252</v>
      </c>
      <c r="E192" s="38">
        <v>153</v>
      </c>
      <c r="F192" s="38"/>
      <c r="G192" s="291">
        <f t="shared" si="21"/>
        <v>405</v>
      </c>
      <c r="H192" s="112"/>
      <c r="I192" s="38">
        <v>109</v>
      </c>
      <c r="J192" s="38"/>
      <c r="K192" s="38">
        <v>296</v>
      </c>
      <c r="L192" s="88"/>
    </row>
    <row r="193" spans="1:14">
      <c r="A193" s="1978"/>
      <c r="B193" s="1855"/>
      <c r="C193" s="73">
        <v>2018</v>
      </c>
      <c r="D193" s="37"/>
      <c r="E193" s="38"/>
      <c r="F193" s="38"/>
      <c r="G193" s="291">
        <f t="shared" si="21"/>
        <v>0</v>
      </c>
      <c r="H193" s="112"/>
      <c r="I193" s="38"/>
      <c r="J193" s="38"/>
      <c r="K193" s="38"/>
      <c r="L193" s="88"/>
    </row>
    <row r="194" spans="1:14">
      <c r="A194" s="1978"/>
      <c r="B194" s="1855"/>
      <c r="C194" s="73">
        <v>2019</v>
      </c>
      <c r="D194" s="37"/>
      <c r="E194" s="38"/>
      <c r="F194" s="38"/>
      <c r="G194" s="291">
        <f t="shared" si="21"/>
        <v>0</v>
      </c>
      <c r="H194" s="112"/>
      <c r="I194" s="38"/>
      <c r="J194" s="38"/>
      <c r="K194" s="38"/>
      <c r="L194" s="88"/>
    </row>
    <row r="195" spans="1:14">
      <c r="A195" s="1978"/>
      <c r="B195" s="1855"/>
      <c r="C195" s="73">
        <v>2020</v>
      </c>
      <c r="D195" s="37"/>
      <c r="E195" s="38"/>
      <c r="F195" s="38"/>
      <c r="G195" s="291">
        <f t="shared" si="21"/>
        <v>0</v>
      </c>
      <c r="H195" s="112"/>
      <c r="I195" s="38"/>
      <c r="J195" s="38"/>
      <c r="K195" s="38"/>
      <c r="L195" s="88"/>
    </row>
    <row r="196" spans="1:14" ht="15.75" thickBot="1">
      <c r="A196" s="1979"/>
      <c r="B196" s="1857"/>
      <c r="C196" s="136" t="s">
        <v>13</v>
      </c>
      <c r="D196" s="139">
        <f t="shared" ref="D196:L196" si="22">SUM(D189:D195)</f>
        <v>644</v>
      </c>
      <c r="E196" s="116">
        <f t="shared" si="22"/>
        <v>303</v>
      </c>
      <c r="F196" s="116">
        <f t="shared" si="22"/>
        <v>25</v>
      </c>
      <c r="G196" s="292">
        <f t="shared" si="22"/>
        <v>972</v>
      </c>
      <c r="H196" s="115">
        <f t="shared" si="22"/>
        <v>0</v>
      </c>
      <c r="I196" s="116">
        <f t="shared" si="22"/>
        <v>164</v>
      </c>
      <c r="J196" s="116">
        <f t="shared" si="22"/>
        <v>25</v>
      </c>
      <c r="K196" s="116">
        <f t="shared" si="22"/>
        <v>783</v>
      </c>
      <c r="L196" s="117">
        <f t="shared" si="22"/>
        <v>0</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485" t="s">
        <v>150</v>
      </c>
      <c r="B201" s="417" t="s">
        <v>182</v>
      </c>
      <c r="C201" s="298" t="s">
        <v>9</v>
      </c>
      <c r="D201" s="299" t="s">
        <v>151</v>
      </c>
      <c r="E201" s="300" t="s">
        <v>152</v>
      </c>
      <c r="F201" s="300" t="s">
        <v>153</v>
      </c>
      <c r="G201" s="298" t="s">
        <v>154</v>
      </c>
      <c r="H201" s="301" t="s">
        <v>155</v>
      </c>
      <c r="I201" s="302" t="s">
        <v>156</v>
      </c>
      <c r="J201" s="303" t="s">
        <v>157</v>
      </c>
      <c r="K201" s="300" t="s">
        <v>158</v>
      </c>
      <c r="L201" s="304" t="s">
        <v>159</v>
      </c>
    </row>
    <row r="202" spans="1:14" ht="15" customHeight="1">
      <c r="A202" s="1854"/>
      <c r="B202" s="1855"/>
      <c r="C202" s="72">
        <v>2014</v>
      </c>
      <c r="D202" s="30"/>
      <c r="E202" s="31"/>
      <c r="F202" s="31"/>
      <c r="G202" s="29"/>
      <c r="H202" s="305"/>
      <c r="I202" s="306"/>
      <c r="J202" s="307"/>
      <c r="K202" s="31"/>
      <c r="L202" s="34"/>
    </row>
    <row r="203" spans="1:14">
      <c r="A203" s="1854"/>
      <c r="B203" s="1855"/>
      <c r="C203" s="73">
        <v>2015</v>
      </c>
      <c r="D203" s="37"/>
      <c r="E203" s="38"/>
      <c r="F203" s="38"/>
      <c r="G203" s="36"/>
      <c r="H203" s="308"/>
      <c r="I203" s="309"/>
      <c r="J203" s="310"/>
      <c r="K203" s="38"/>
      <c r="L203" s="88"/>
    </row>
    <row r="204" spans="1:14">
      <c r="A204" s="1854"/>
      <c r="B204" s="1855"/>
      <c r="C204" s="73">
        <v>2016</v>
      </c>
      <c r="D204" s="37"/>
      <c r="E204" s="38"/>
      <c r="F204" s="38"/>
      <c r="G204" s="36"/>
      <c r="H204" s="308"/>
      <c r="I204" s="309"/>
      <c r="J204" s="310"/>
      <c r="K204" s="38"/>
      <c r="L204" s="88"/>
    </row>
    <row r="205" spans="1:14">
      <c r="A205" s="1854"/>
      <c r="B205" s="1855"/>
      <c r="C205" s="73">
        <v>2017</v>
      </c>
      <c r="D205" s="37"/>
      <c r="E205" s="38"/>
      <c r="F205" s="38"/>
      <c r="G205" s="36"/>
      <c r="H205" s="308"/>
      <c r="I205" s="309"/>
      <c r="J205" s="310"/>
      <c r="K205" s="38"/>
      <c r="L205" s="88"/>
    </row>
    <row r="206" spans="1:14">
      <c r="A206" s="1854"/>
      <c r="B206" s="1855"/>
      <c r="C206" s="73">
        <v>2018</v>
      </c>
      <c r="D206" s="37"/>
      <c r="E206" s="38"/>
      <c r="F206" s="38"/>
      <c r="G206" s="36"/>
      <c r="H206" s="308"/>
      <c r="I206" s="309"/>
      <c r="J206" s="310"/>
      <c r="K206" s="38"/>
      <c r="L206" s="88"/>
    </row>
    <row r="207" spans="1:14">
      <c r="A207" s="1854"/>
      <c r="B207" s="1855"/>
      <c r="C207" s="73">
        <v>2019</v>
      </c>
      <c r="D207" s="37"/>
      <c r="E207" s="38"/>
      <c r="F207" s="38"/>
      <c r="G207" s="36"/>
      <c r="H207" s="308"/>
      <c r="I207" s="309"/>
      <c r="J207" s="310"/>
      <c r="K207" s="38"/>
      <c r="L207" s="88"/>
    </row>
    <row r="208" spans="1:14">
      <c r="A208" s="1854"/>
      <c r="B208" s="1855"/>
      <c r="C208" s="73">
        <v>2020</v>
      </c>
      <c r="D208" s="311"/>
      <c r="E208" s="312"/>
      <c r="F208" s="312"/>
      <c r="G208" s="313"/>
      <c r="H208" s="314"/>
      <c r="I208" s="315"/>
      <c r="J208" s="316"/>
      <c r="K208" s="312"/>
      <c r="L208" s="317"/>
    </row>
    <row r="209" spans="1:12" ht="20.25" customHeight="1" thickBot="1">
      <c r="A209" s="1856"/>
      <c r="B209" s="1857"/>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0</v>
      </c>
      <c r="K209" s="139">
        <f t="shared" si="23"/>
        <v>0</v>
      </c>
      <c r="L209" s="139">
        <f t="shared" si="23"/>
        <v>0</v>
      </c>
    </row>
    <row r="211" spans="1:12" ht="15.75" thickBot="1"/>
    <row r="212" spans="1:12" ht="29.25">
      <c r="A212" s="506" t="s">
        <v>161</v>
      </c>
      <c r="B212" s="507" t="s">
        <v>239</v>
      </c>
      <c r="C212" s="508">
        <v>2014</v>
      </c>
      <c r="D212" s="509">
        <v>2015</v>
      </c>
      <c r="E212" s="509">
        <v>2016</v>
      </c>
      <c r="F212" s="324">
        <v>2017</v>
      </c>
      <c r="G212" s="324">
        <v>2018</v>
      </c>
      <c r="H212" s="324">
        <v>2019</v>
      </c>
      <c r="I212" s="325">
        <v>2020</v>
      </c>
    </row>
    <row r="213" spans="1:12" ht="15" customHeight="1">
      <c r="A213" s="329" t="s">
        <v>163</v>
      </c>
      <c r="B213" s="2002" t="s">
        <v>240</v>
      </c>
      <c r="C213" s="358"/>
      <c r="D213" s="510">
        <v>370000</v>
      </c>
      <c r="E213" s="510">
        <v>711779.37</v>
      </c>
      <c r="F213" s="135">
        <v>597378.38</v>
      </c>
      <c r="G213" s="135"/>
      <c r="H213" s="135"/>
      <c r="I213" s="326"/>
    </row>
    <row r="214" spans="1:12">
      <c r="A214" s="329" t="s">
        <v>164</v>
      </c>
      <c r="B214" s="2003"/>
      <c r="C214" s="358"/>
      <c r="D214" s="510">
        <v>324695.76</v>
      </c>
      <c r="E214" s="510">
        <v>631952.86</v>
      </c>
      <c r="F214" s="135">
        <v>303988.59999999998</v>
      </c>
      <c r="G214" s="135"/>
      <c r="H214" s="135"/>
      <c r="I214" s="326"/>
    </row>
    <row r="215" spans="1:12">
      <c r="A215" s="329" t="s">
        <v>165</v>
      </c>
      <c r="B215" s="2003"/>
      <c r="C215" s="358"/>
      <c r="D215" s="510">
        <v>0</v>
      </c>
      <c r="E215" s="510">
        <v>10000</v>
      </c>
      <c r="F215" s="135">
        <v>0</v>
      </c>
      <c r="G215" s="135"/>
      <c r="H215" s="135"/>
      <c r="I215" s="326"/>
    </row>
    <row r="216" spans="1:12">
      <c r="A216" s="329" t="s">
        <v>166</v>
      </c>
      <c r="B216" s="2003"/>
      <c r="C216" s="358"/>
      <c r="D216" s="510">
        <v>45304.24</v>
      </c>
      <c r="E216" s="510">
        <v>15215.4</v>
      </c>
      <c r="F216" s="135">
        <v>39579.01</v>
      </c>
      <c r="G216" s="135"/>
      <c r="H216" s="135"/>
      <c r="I216" s="326"/>
    </row>
    <row r="217" spans="1:12">
      <c r="A217" s="329" t="s">
        <v>167</v>
      </c>
      <c r="B217" s="2003"/>
      <c r="C217" s="358"/>
      <c r="D217" s="510">
        <v>0</v>
      </c>
      <c r="E217" s="510">
        <v>54611.11</v>
      </c>
      <c r="F217" s="135">
        <v>253810.77</v>
      </c>
      <c r="G217" s="135"/>
      <c r="H217" s="135"/>
      <c r="I217" s="326"/>
    </row>
    <row r="218" spans="1:12" ht="30">
      <c r="A218" s="511" t="s">
        <v>168</v>
      </c>
      <c r="B218" s="2003"/>
      <c r="C218" s="358"/>
      <c r="D218" s="510">
        <v>111668.15</v>
      </c>
      <c r="E218" s="510">
        <v>219038.59</v>
      </c>
      <c r="F218" s="512">
        <v>246044.39</v>
      </c>
      <c r="G218" s="135"/>
      <c r="H218" s="135"/>
      <c r="I218" s="326"/>
    </row>
    <row r="219" spans="1:12" ht="15.75" thickBot="1">
      <c r="A219" s="513"/>
      <c r="B219" s="2004"/>
      <c r="C219" s="369" t="s">
        <v>13</v>
      </c>
      <c r="D219" s="1780">
        <f>D214+D215+D216+D217+D218</f>
        <v>481668.15</v>
      </c>
      <c r="E219" s="1780">
        <v>930817.96</v>
      </c>
      <c r="F219" s="333">
        <v>843422.77</v>
      </c>
      <c r="G219" s="333">
        <f t="shared" ref="G219:I219" si="24">SUM(G214:G218)</f>
        <v>0</v>
      </c>
      <c r="H219" s="333">
        <f t="shared" si="24"/>
        <v>0</v>
      </c>
      <c r="I219" s="333">
        <f t="shared" si="24"/>
        <v>0</v>
      </c>
    </row>
    <row r="223" spans="1:12">
      <c r="F223" s="514"/>
    </row>
    <row r="227" spans="1:1">
      <c r="A227" s="56"/>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8"/>
  <sheetViews>
    <sheetView topLeftCell="D10" zoomScale="80" zoomScaleNormal="80" workbookViewId="0">
      <selection activeCell="F213" sqref="F213"/>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203</v>
      </c>
      <c r="C1" s="1944"/>
      <c r="D1" s="1944"/>
      <c r="E1" s="1944"/>
      <c r="F1" s="1944"/>
    </row>
    <row r="2" spans="1:25" s="1" customFormat="1" ht="20.100000000000001" customHeight="1" thickBot="1"/>
    <row r="3" spans="1:25" s="4" customFormat="1" ht="20.100000000000001" customHeight="1">
      <c r="A3" s="2" t="s">
        <v>2</v>
      </c>
      <c r="B3" s="3"/>
      <c r="C3" s="3"/>
      <c r="D3" s="3"/>
      <c r="E3" s="3"/>
      <c r="F3" s="1945"/>
      <c r="G3" s="1945"/>
      <c r="H3" s="1945"/>
      <c r="I3" s="1945"/>
      <c r="J3" s="1945"/>
      <c r="K3" s="1945"/>
      <c r="L3" s="1945"/>
      <c r="M3" s="1945"/>
      <c r="N3" s="1945"/>
      <c r="O3" s="1946"/>
    </row>
    <row r="4" spans="1:25" s="4" customFormat="1" ht="20.100000000000001" customHeight="1">
      <c r="A4" s="1947" t="s">
        <v>204</v>
      </c>
      <c r="B4" s="1948"/>
      <c r="C4" s="1948"/>
      <c r="D4" s="1948"/>
      <c r="E4" s="1948"/>
      <c r="F4" s="1948"/>
      <c r="G4" s="1948"/>
      <c r="H4" s="1948"/>
      <c r="I4" s="1948"/>
      <c r="J4" s="1948"/>
      <c r="K4" s="1948"/>
      <c r="L4" s="1948"/>
      <c r="M4" s="1948"/>
      <c r="N4" s="1948"/>
      <c r="O4" s="1949"/>
    </row>
    <row r="5" spans="1:25" s="4" customFormat="1" ht="20.100000000000001" customHeight="1">
      <c r="A5" s="1947"/>
      <c r="B5" s="1948"/>
      <c r="C5" s="1948"/>
      <c r="D5" s="1948"/>
      <c r="E5" s="1948"/>
      <c r="F5" s="1948"/>
      <c r="G5" s="1948"/>
      <c r="H5" s="1948"/>
      <c r="I5" s="1948"/>
      <c r="J5" s="1948"/>
      <c r="K5" s="1948"/>
      <c r="L5" s="1948"/>
      <c r="M5" s="1948"/>
      <c r="N5" s="1948"/>
      <c r="O5" s="1949"/>
    </row>
    <row r="6" spans="1:25" s="4" customFormat="1" ht="20.100000000000001" customHeight="1">
      <c r="A6" s="1947"/>
      <c r="B6" s="1948"/>
      <c r="C6" s="1948"/>
      <c r="D6" s="1948"/>
      <c r="E6" s="1948"/>
      <c r="F6" s="1948"/>
      <c r="G6" s="1948"/>
      <c r="H6" s="1948"/>
      <c r="I6" s="1948"/>
      <c r="J6" s="1948"/>
      <c r="K6" s="1948"/>
      <c r="L6" s="1948"/>
      <c r="M6" s="1948"/>
      <c r="N6" s="1948"/>
      <c r="O6" s="1949"/>
    </row>
    <row r="7" spans="1:25" s="4" customFormat="1" ht="20.100000000000001" customHeight="1">
      <c r="A7" s="1947"/>
      <c r="B7" s="1948"/>
      <c r="C7" s="1948"/>
      <c r="D7" s="1948"/>
      <c r="E7" s="1948"/>
      <c r="F7" s="1948"/>
      <c r="G7" s="1948"/>
      <c r="H7" s="1948"/>
      <c r="I7" s="1948"/>
      <c r="J7" s="1948"/>
      <c r="K7" s="1948"/>
      <c r="L7" s="1948"/>
      <c r="M7" s="1948"/>
      <c r="N7" s="1948"/>
      <c r="O7" s="1949"/>
    </row>
    <row r="8" spans="1:25" s="4" customFormat="1" ht="20.100000000000001" customHeight="1">
      <c r="A8" s="1947"/>
      <c r="B8" s="1948"/>
      <c r="C8" s="1948"/>
      <c r="D8" s="1948"/>
      <c r="E8" s="1948"/>
      <c r="F8" s="1948"/>
      <c r="G8" s="1948"/>
      <c r="H8" s="1948"/>
      <c r="I8" s="1948"/>
      <c r="J8" s="1948"/>
      <c r="K8" s="1948"/>
      <c r="L8" s="1948"/>
      <c r="M8" s="1948"/>
      <c r="N8" s="1948"/>
      <c r="O8" s="1949"/>
    </row>
    <row r="9" spans="1:25" s="4" customFormat="1" ht="20.100000000000001" customHeight="1">
      <c r="A9" s="1947"/>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8"/>
      <c r="B15" s="9"/>
      <c r="C15" s="10"/>
      <c r="D15" s="1953" t="s">
        <v>5</v>
      </c>
      <c r="E15" s="1954"/>
      <c r="F15" s="1954"/>
      <c r="G15" s="1954"/>
      <c r="H15" s="11"/>
      <c r="I15" s="12" t="s">
        <v>6</v>
      </c>
      <c r="J15" s="13"/>
      <c r="K15" s="13"/>
      <c r="L15" s="13"/>
      <c r="M15" s="13"/>
      <c r="N15" s="13"/>
      <c r="O15" s="14"/>
      <c r="P15" s="15"/>
      <c r="Q15" s="16"/>
      <c r="R15" s="17"/>
      <c r="S15" s="17"/>
      <c r="T15" s="17"/>
      <c r="U15" s="17"/>
      <c r="V15" s="17"/>
      <c r="W15" s="15"/>
      <c r="X15" s="15"/>
      <c r="Y15" s="16"/>
    </row>
    <row r="16" spans="1:25" s="56" customFormat="1" ht="129" customHeight="1">
      <c r="A16" s="1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1874" t="s">
        <v>205</v>
      </c>
      <c r="B17" s="1855"/>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1854"/>
      <c r="B18" s="1855"/>
      <c r="C18" s="36">
        <v>2015</v>
      </c>
      <c r="D18" s="37">
        <v>16</v>
      </c>
      <c r="E18" s="38"/>
      <c r="F18" s="38"/>
      <c r="G18" s="32">
        <v>16</v>
      </c>
      <c r="H18" s="39"/>
      <c r="I18" s="38"/>
      <c r="J18" s="38"/>
      <c r="K18" s="38">
        <v>1</v>
      </c>
      <c r="L18" s="38"/>
      <c r="M18" s="38"/>
      <c r="N18" s="38"/>
      <c r="O18" s="40">
        <v>15</v>
      </c>
      <c r="P18" s="35"/>
      <c r="Q18" s="35"/>
      <c r="R18" s="35"/>
      <c r="S18" s="35"/>
      <c r="T18" s="35"/>
      <c r="U18" s="35"/>
      <c r="V18" s="35"/>
      <c r="W18" s="35"/>
      <c r="X18" s="35"/>
      <c r="Y18" s="35"/>
    </row>
    <row r="19" spans="1:25">
      <c r="A19" s="1854"/>
      <c r="B19" s="1855"/>
      <c r="C19" s="36">
        <v>2016</v>
      </c>
      <c r="D19" s="395">
        <v>40</v>
      </c>
      <c r="E19" s="339">
        <v>1</v>
      </c>
      <c r="F19" s="339"/>
      <c r="G19" s="32">
        <f t="shared" si="0"/>
        <v>41</v>
      </c>
      <c r="H19" s="349"/>
      <c r="I19" s="339">
        <v>2</v>
      </c>
      <c r="J19" s="339">
        <v>1</v>
      </c>
      <c r="K19" s="339">
        <v>2</v>
      </c>
      <c r="L19" s="339"/>
      <c r="M19" s="339"/>
      <c r="N19" s="339"/>
      <c r="O19" s="340">
        <v>36</v>
      </c>
      <c r="P19" s="35"/>
      <c r="Q19" s="35"/>
      <c r="R19" s="35"/>
      <c r="S19" s="35"/>
      <c r="T19" s="35"/>
      <c r="U19" s="35"/>
      <c r="V19" s="35"/>
      <c r="W19" s="35"/>
      <c r="X19" s="35"/>
      <c r="Y19" s="35"/>
    </row>
    <row r="20" spans="1:25">
      <c r="A20" s="1854"/>
      <c r="B20" s="1855"/>
      <c r="C20" s="36">
        <v>2017</v>
      </c>
      <c r="D20" s="395">
        <v>34</v>
      </c>
      <c r="E20" s="38">
        <v>3</v>
      </c>
      <c r="F20" s="38"/>
      <c r="G20" s="32">
        <f t="shared" si="0"/>
        <v>37</v>
      </c>
      <c r="H20" s="39">
        <v>1</v>
      </c>
      <c r="I20" s="38"/>
      <c r="J20" s="38"/>
      <c r="K20" s="38">
        <v>2</v>
      </c>
      <c r="L20" s="38"/>
      <c r="M20" s="38"/>
      <c r="N20" s="38"/>
      <c r="O20" s="40">
        <v>34</v>
      </c>
      <c r="P20" s="35"/>
      <c r="Q20" s="35"/>
      <c r="R20" s="35"/>
      <c r="S20" s="35"/>
      <c r="T20" s="35"/>
      <c r="U20" s="35"/>
      <c r="V20" s="35"/>
      <c r="W20" s="35"/>
      <c r="X20" s="35"/>
      <c r="Y20" s="35"/>
    </row>
    <row r="21" spans="1:25">
      <c r="A21" s="1854"/>
      <c r="B21" s="1855"/>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1854"/>
      <c r="B22" s="1855"/>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1854"/>
      <c r="B23" s="1855"/>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105.75" customHeight="1" thickBot="1">
      <c r="A24" s="1856"/>
      <c r="B24" s="1857"/>
      <c r="C24" s="42" t="s">
        <v>13</v>
      </c>
      <c r="D24" s="43">
        <f>SUM(D18:D23)</f>
        <v>90</v>
      </c>
      <c r="E24" s="44">
        <f>SUM(E17:E23)</f>
        <v>4</v>
      </c>
      <c r="F24" s="44">
        <f>SUM(F17:F23)</f>
        <v>0</v>
      </c>
      <c r="G24" s="45">
        <f>SUM(D24:F24)</f>
        <v>94</v>
      </c>
      <c r="H24" s="46">
        <f>SUM(H17:H23)</f>
        <v>1</v>
      </c>
      <c r="I24" s="47">
        <f>SUM(I17:I23)</f>
        <v>2</v>
      </c>
      <c r="J24" s="47">
        <f t="shared" ref="J24:N24" si="1">SUM(J17:J23)</f>
        <v>1</v>
      </c>
      <c r="K24" s="47">
        <f t="shared" si="1"/>
        <v>5</v>
      </c>
      <c r="L24" s="47">
        <f t="shared" si="1"/>
        <v>0</v>
      </c>
      <c r="M24" s="47">
        <f t="shared" si="1"/>
        <v>0</v>
      </c>
      <c r="N24" s="47">
        <f t="shared" si="1"/>
        <v>0</v>
      </c>
      <c r="O24" s="48">
        <f>SUM(O17:O23)</f>
        <v>85</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8"/>
      <c r="B26" s="9"/>
      <c r="C26" s="50"/>
      <c r="D26" s="1959" t="s">
        <v>5</v>
      </c>
      <c r="E26" s="1960"/>
      <c r="F26" s="1960"/>
      <c r="G26" s="1961"/>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1874" t="s">
        <v>206</v>
      </c>
      <c r="B28" s="1855"/>
      <c r="C28" s="57">
        <v>2014</v>
      </c>
      <c r="D28" s="33"/>
      <c r="E28" s="31"/>
      <c r="F28" s="31"/>
      <c r="G28" s="58">
        <f>SUM(D28:F28)</f>
        <v>0</v>
      </c>
      <c r="H28" s="35"/>
      <c r="I28" s="35"/>
      <c r="J28" s="35"/>
      <c r="K28" s="35"/>
      <c r="L28" s="35"/>
      <c r="M28" s="35"/>
      <c r="N28" s="35"/>
      <c r="O28" s="35"/>
      <c r="P28" s="35"/>
      <c r="Q28" s="7"/>
    </row>
    <row r="29" spans="1:25">
      <c r="A29" s="1854"/>
      <c r="B29" s="1855"/>
      <c r="C29" s="59">
        <v>2015</v>
      </c>
      <c r="D29" s="39">
        <v>5450</v>
      </c>
      <c r="E29" s="38"/>
      <c r="F29" s="38"/>
      <c r="G29" s="58">
        <v>5450</v>
      </c>
      <c r="H29" s="35"/>
      <c r="I29" s="35"/>
      <c r="J29" s="35"/>
      <c r="K29" s="35"/>
      <c r="L29" s="35"/>
      <c r="M29" s="35"/>
      <c r="N29" s="35"/>
      <c r="O29" s="35"/>
      <c r="P29" s="35"/>
      <c r="Q29" s="7"/>
    </row>
    <row r="30" spans="1:25">
      <c r="A30" s="1854"/>
      <c r="B30" s="1855"/>
      <c r="C30" s="59">
        <v>2016</v>
      </c>
      <c r="D30" s="349">
        <v>14345</v>
      </c>
      <c r="E30" s="339">
        <v>20040</v>
      </c>
      <c r="F30" s="339"/>
      <c r="G30" s="58">
        <f t="shared" ref="G30:G35" si="2">SUM(D30:F30)</f>
        <v>34385</v>
      </c>
      <c r="H30" s="35"/>
      <c r="I30" s="35"/>
      <c r="J30" s="35"/>
      <c r="K30" s="35"/>
      <c r="L30" s="35"/>
      <c r="M30" s="35"/>
      <c r="N30" s="35"/>
      <c r="O30" s="35"/>
      <c r="P30" s="35"/>
      <c r="Q30" s="7"/>
    </row>
    <row r="31" spans="1:25">
      <c r="A31" s="1854"/>
      <c r="B31" s="1855"/>
      <c r="C31" s="59">
        <v>2017</v>
      </c>
      <c r="D31" s="349">
        <v>10685</v>
      </c>
      <c r="E31" s="38">
        <v>25920</v>
      </c>
      <c r="F31" s="38"/>
      <c r="G31" s="58">
        <f t="shared" si="2"/>
        <v>36605</v>
      </c>
      <c r="H31" s="35"/>
      <c r="I31" s="35"/>
      <c r="J31" s="35"/>
      <c r="K31" s="35"/>
      <c r="L31" s="35"/>
      <c r="M31" s="35"/>
      <c r="N31" s="35"/>
      <c r="O31" s="35"/>
      <c r="P31" s="35"/>
      <c r="Q31" s="7"/>
    </row>
    <row r="32" spans="1:25">
      <c r="A32" s="1854"/>
      <c r="B32" s="1855"/>
      <c r="C32" s="59">
        <v>2018</v>
      </c>
      <c r="D32" s="39"/>
      <c r="E32" s="38"/>
      <c r="F32" s="38"/>
      <c r="G32" s="58">
        <f>SUM(D32:F32)</f>
        <v>0</v>
      </c>
      <c r="H32" s="35"/>
      <c r="I32" s="35"/>
      <c r="J32" s="35"/>
      <c r="K32" s="35"/>
      <c r="L32" s="35"/>
      <c r="M32" s="35"/>
      <c r="N32" s="35"/>
      <c r="O32" s="35"/>
      <c r="P32" s="35"/>
      <c r="Q32" s="7"/>
    </row>
    <row r="33" spans="1:17">
      <c r="A33" s="1854"/>
      <c r="B33" s="1855"/>
      <c r="C33" s="60">
        <v>2019</v>
      </c>
      <c r="D33" s="39"/>
      <c r="E33" s="38"/>
      <c r="F33" s="38"/>
      <c r="G33" s="58">
        <f t="shared" si="2"/>
        <v>0</v>
      </c>
      <c r="H33" s="35"/>
      <c r="I33" s="35"/>
      <c r="J33" s="35"/>
      <c r="K33" s="35"/>
      <c r="L33" s="35"/>
      <c r="M33" s="35"/>
      <c r="N33" s="35"/>
      <c r="O33" s="35"/>
      <c r="P33" s="35"/>
      <c r="Q33" s="7"/>
    </row>
    <row r="34" spans="1:17">
      <c r="A34" s="1854"/>
      <c r="B34" s="1855"/>
      <c r="C34" s="59">
        <v>2020</v>
      </c>
      <c r="D34" s="39"/>
      <c r="E34" s="38"/>
      <c r="F34" s="38"/>
      <c r="G34" s="58">
        <f t="shared" si="2"/>
        <v>0</v>
      </c>
      <c r="H34" s="35"/>
      <c r="I34" s="35"/>
      <c r="J34" s="35"/>
      <c r="K34" s="35"/>
      <c r="L34" s="35"/>
      <c r="M34" s="35"/>
      <c r="N34" s="35"/>
      <c r="O34" s="35"/>
      <c r="P34" s="35"/>
      <c r="Q34" s="7"/>
    </row>
    <row r="35" spans="1:17" ht="20.25" customHeight="1" thickBot="1">
      <c r="A35" s="1856"/>
      <c r="B35" s="1857"/>
      <c r="C35" s="61" t="s">
        <v>13</v>
      </c>
      <c r="D35" s="46">
        <f>SUM(D28:D34)</f>
        <v>30480</v>
      </c>
      <c r="E35" s="44">
        <f>SUM(E28:E34)</f>
        <v>45960</v>
      </c>
      <c r="F35" s="44">
        <f>SUM(F28:F34)</f>
        <v>0</v>
      </c>
      <c r="G35" s="48">
        <f t="shared" si="2"/>
        <v>76440</v>
      </c>
      <c r="H35" s="35"/>
      <c r="I35" s="35"/>
      <c r="J35" s="35"/>
      <c r="K35" s="35"/>
      <c r="L35" s="35"/>
      <c r="M35" s="35"/>
      <c r="N35" s="35"/>
      <c r="O35" s="35"/>
      <c r="P35" s="35"/>
      <c r="Q35" s="7"/>
    </row>
    <row r="36" spans="1:17">
      <c r="A36" s="62"/>
      <c r="B36" s="62"/>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66" t="s">
        <v>26</v>
      </c>
      <c r="B39" s="372" t="s">
        <v>171</v>
      </c>
      <c r="C39" s="68" t="s">
        <v>9</v>
      </c>
      <c r="D39" s="69" t="s">
        <v>28</v>
      </c>
      <c r="E39" s="70" t="s">
        <v>29</v>
      </c>
      <c r="F39" s="71"/>
      <c r="G39" s="28"/>
      <c r="H39" s="28"/>
    </row>
    <row r="40" spans="1:17">
      <c r="A40" s="1874"/>
      <c r="B40" s="1855"/>
      <c r="C40" s="72">
        <v>2014</v>
      </c>
      <c r="D40" s="30"/>
      <c r="E40" s="29"/>
      <c r="F40" s="7"/>
      <c r="G40" s="35"/>
      <c r="H40" s="35"/>
    </row>
    <row r="41" spans="1:17">
      <c r="A41" s="1854"/>
      <c r="B41" s="1855"/>
      <c r="C41" s="73">
        <v>2015</v>
      </c>
      <c r="D41" s="37">
        <v>48116</v>
      </c>
      <c r="E41" s="36">
        <v>31649</v>
      </c>
      <c r="F41" s="7"/>
      <c r="G41" s="35"/>
      <c r="H41" s="35"/>
    </row>
    <row r="42" spans="1:17">
      <c r="A42" s="1854"/>
      <c r="B42" s="1855"/>
      <c r="C42" s="73">
        <v>2016</v>
      </c>
      <c r="D42" s="395">
        <v>66322</v>
      </c>
      <c r="E42" s="454">
        <v>29167</v>
      </c>
      <c r="F42" s="7"/>
      <c r="G42" s="35"/>
      <c r="H42" s="35"/>
    </row>
    <row r="43" spans="1:17">
      <c r="A43" s="1854"/>
      <c r="B43" s="1855"/>
      <c r="C43" s="73">
        <v>2017</v>
      </c>
      <c r="D43" s="37">
        <v>133681</v>
      </c>
      <c r="E43" s="36">
        <v>56412</v>
      </c>
      <c r="F43" s="7"/>
      <c r="G43" s="35"/>
      <c r="H43" s="35"/>
    </row>
    <row r="44" spans="1:17">
      <c r="A44" s="1854"/>
      <c r="B44" s="1855"/>
      <c r="C44" s="73">
        <v>2018</v>
      </c>
      <c r="D44" s="37"/>
      <c r="E44" s="36"/>
      <c r="F44" s="7"/>
      <c r="G44" s="35"/>
      <c r="H44" s="35"/>
    </row>
    <row r="45" spans="1:17">
      <c r="A45" s="1854"/>
      <c r="B45" s="1855"/>
      <c r="C45" s="73">
        <v>2019</v>
      </c>
      <c r="D45" s="37"/>
      <c r="E45" s="36"/>
      <c r="F45" s="7"/>
      <c r="G45" s="35"/>
      <c r="H45" s="35"/>
    </row>
    <row r="46" spans="1:17">
      <c r="A46" s="1854"/>
      <c r="B46" s="1855"/>
      <c r="C46" s="73">
        <v>2020</v>
      </c>
      <c r="D46" s="37"/>
      <c r="E46" s="36"/>
      <c r="F46" s="7"/>
      <c r="G46" s="35"/>
      <c r="H46" s="35"/>
    </row>
    <row r="47" spans="1:17" ht="15.75" thickBot="1">
      <c r="A47" s="1856"/>
      <c r="B47" s="1857"/>
      <c r="C47" s="42" t="s">
        <v>13</v>
      </c>
      <c r="D47" s="43">
        <f>SUM(D40:D46)</f>
        <v>248119</v>
      </c>
      <c r="E47" s="455">
        <f>SUM(E40:E46)</f>
        <v>117228</v>
      </c>
      <c r="F47" s="78"/>
      <c r="G47" s="35"/>
      <c r="H47" s="35"/>
    </row>
    <row r="48" spans="1:17" s="35" customFormat="1" ht="15.75" thickBot="1">
      <c r="A48" s="79"/>
      <c r="B48" s="80"/>
      <c r="C48" s="81"/>
    </row>
    <row r="49" spans="1:15" ht="83.25" customHeight="1">
      <c r="A49" s="82" t="s">
        <v>32</v>
      </c>
      <c r="B49" s="372" t="s">
        <v>171</v>
      </c>
      <c r="C49" s="84" t="s">
        <v>9</v>
      </c>
      <c r="D49" s="69" t="s">
        <v>34</v>
      </c>
      <c r="E49" s="85" t="s">
        <v>35</v>
      </c>
      <c r="F49" s="85" t="s">
        <v>36</v>
      </c>
      <c r="G49" s="85" t="s">
        <v>37</v>
      </c>
      <c r="H49" s="85" t="s">
        <v>38</v>
      </c>
      <c r="I49" s="85" t="s">
        <v>39</v>
      </c>
      <c r="J49" s="85" t="s">
        <v>40</v>
      </c>
      <c r="K49" s="86" t="s">
        <v>41</v>
      </c>
    </row>
    <row r="50" spans="1:15" ht="17.25" customHeight="1">
      <c r="A50" s="1872"/>
      <c r="B50" s="1879"/>
      <c r="C50" s="87" t="s">
        <v>43</v>
      </c>
      <c r="D50" s="30"/>
      <c r="E50" s="31"/>
      <c r="F50" s="31"/>
      <c r="G50" s="31"/>
      <c r="H50" s="31"/>
      <c r="I50" s="31"/>
      <c r="J50" s="31"/>
      <c r="K50" s="34"/>
    </row>
    <row r="51" spans="1:15" ht="15" customHeight="1">
      <c r="A51" s="1874"/>
      <c r="B51" s="1881"/>
      <c r="C51" s="73">
        <v>2014</v>
      </c>
      <c r="D51" s="37"/>
      <c r="E51" s="38"/>
      <c r="F51" s="38"/>
      <c r="G51" s="38"/>
      <c r="H51" s="38"/>
      <c r="I51" s="38"/>
      <c r="J51" s="38"/>
      <c r="K51" s="88"/>
    </row>
    <row r="52" spans="1:15">
      <c r="A52" s="1874"/>
      <c r="B52" s="1881"/>
      <c r="C52" s="73">
        <v>2015</v>
      </c>
      <c r="D52" s="37"/>
      <c r="E52" s="38"/>
      <c r="F52" s="38"/>
      <c r="G52" s="38"/>
      <c r="H52" s="38"/>
      <c r="I52" s="38"/>
      <c r="J52" s="38"/>
      <c r="K52" s="88"/>
    </row>
    <row r="53" spans="1:15">
      <c r="A53" s="1874"/>
      <c r="B53" s="1881"/>
      <c r="C53" s="73">
        <v>2016</v>
      </c>
      <c r="D53" s="37"/>
      <c r="E53" s="38"/>
      <c r="F53" s="38"/>
      <c r="G53" s="38"/>
      <c r="H53" s="38"/>
      <c r="I53" s="38"/>
      <c r="J53" s="38"/>
      <c r="K53" s="88"/>
    </row>
    <row r="54" spans="1:15">
      <c r="A54" s="1874"/>
      <c r="B54" s="1881"/>
      <c r="C54" s="73">
        <v>2017</v>
      </c>
      <c r="D54" s="37"/>
      <c r="E54" s="38"/>
      <c r="F54" s="38"/>
      <c r="G54" s="38"/>
      <c r="H54" s="38"/>
      <c r="I54" s="38"/>
      <c r="J54" s="38"/>
      <c r="K54" s="88"/>
    </row>
    <row r="55" spans="1:15">
      <c r="A55" s="1874"/>
      <c r="B55" s="1881"/>
      <c r="C55" s="73">
        <v>2018</v>
      </c>
      <c r="D55" s="37"/>
      <c r="E55" s="38"/>
      <c r="F55" s="38"/>
      <c r="G55" s="38"/>
      <c r="H55" s="38"/>
      <c r="I55" s="38"/>
      <c r="J55" s="38"/>
      <c r="K55" s="88"/>
    </row>
    <row r="56" spans="1:15">
      <c r="A56" s="1874"/>
      <c r="B56" s="1881"/>
      <c r="C56" s="73">
        <v>2019</v>
      </c>
      <c r="D56" s="37"/>
      <c r="E56" s="38"/>
      <c r="F56" s="38"/>
      <c r="G56" s="38"/>
      <c r="H56" s="38"/>
      <c r="I56" s="38"/>
      <c r="J56" s="38"/>
      <c r="K56" s="88"/>
    </row>
    <row r="57" spans="1:15">
      <c r="A57" s="1874"/>
      <c r="B57" s="1881"/>
      <c r="C57" s="73">
        <v>2020</v>
      </c>
      <c r="D57" s="37"/>
      <c r="E57" s="38"/>
      <c r="F57" s="38"/>
      <c r="G57" s="38"/>
      <c r="H57" s="38"/>
      <c r="I57" s="38"/>
      <c r="J57" s="38"/>
      <c r="K57" s="93"/>
    </row>
    <row r="58" spans="1:15" ht="20.25" customHeight="1" thickBot="1">
      <c r="A58" s="1876"/>
      <c r="B58" s="1883"/>
      <c r="C58" s="42" t="s">
        <v>13</v>
      </c>
      <c r="D58" s="43">
        <f>SUM(D51:D57)</f>
        <v>0</v>
      </c>
      <c r="E58" s="44">
        <f>SUM(E51:E57)</f>
        <v>0</v>
      </c>
      <c r="F58" s="44">
        <f>SUM(F51:F57)</f>
        <v>0</v>
      </c>
      <c r="G58" s="44">
        <f>SUM(G51:G57)</f>
        <v>0</v>
      </c>
      <c r="H58" s="44">
        <f>SUM(H51:H57)</f>
        <v>0</v>
      </c>
      <c r="I58" s="44">
        <f t="shared" ref="I58" si="3">SUM(I51:I57)</f>
        <v>0</v>
      </c>
      <c r="J58" s="44">
        <f>SUM(J51:J57)</f>
        <v>0</v>
      </c>
      <c r="K58" s="48">
        <f>SUM(K50:K56)</f>
        <v>0</v>
      </c>
    </row>
    <row r="59" spans="1:15" ht="15.75" thickBot="1"/>
    <row r="60" spans="1:15" ht="21" customHeight="1">
      <c r="A60" s="1969" t="s">
        <v>44</v>
      </c>
      <c r="B60" s="95"/>
      <c r="C60" s="1971" t="s">
        <v>9</v>
      </c>
      <c r="D60" s="1941" t="s">
        <v>45</v>
      </c>
      <c r="E60" s="96" t="s">
        <v>6</v>
      </c>
      <c r="F60" s="97"/>
      <c r="G60" s="97"/>
      <c r="H60" s="97"/>
      <c r="I60" s="97"/>
      <c r="J60" s="97"/>
      <c r="K60" s="97"/>
      <c r="L60" s="98"/>
    </row>
    <row r="61" spans="1:15" ht="115.5" customHeight="1">
      <c r="A61" s="1970"/>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1933" t="s">
        <v>207</v>
      </c>
      <c r="B62" s="2025"/>
      <c r="C62" s="106">
        <v>2014</v>
      </c>
      <c r="D62" s="107"/>
      <c r="E62" s="108"/>
      <c r="F62" s="109"/>
      <c r="G62" s="109"/>
      <c r="H62" s="109"/>
      <c r="I62" s="109"/>
      <c r="J62" s="109"/>
      <c r="K62" s="109"/>
      <c r="L62" s="34"/>
      <c r="M62" s="7"/>
      <c r="N62" s="7"/>
      <c r="O62" s="7"/>
    </row>
    <row r="63" spans="1:15">
      <c r="A63" s="2024"/>
      <c r="B63" s="2025"/>
      <c r="C63" s="110">
        <v>2015</v>
      </c>
      <c r="D63" s="111"/>
      <c r="E63" s="112"/>
      <c r="F63" s="38"/>
      <c r="G63" s="38"/>
      <c r="H63" s="38"/>
      <c r="I63" s="38"/>
      <c r="J63" s="38"/>
      <c r="K63" s="38"/>
      <c r="L63" s="88"/>
      <c r="M63" s="7"/>
      <c r="N63" s="7"/>
      <c r="O63" s="7"/>
    </row>
    <row r="64" spans="1:15">
      <c r="A64" s="2024"/>
      <c r="B64" s="2025"/>
      <c r="C64" s="110">
        <v>2016</v>
      </c>
      <c r="D64" s="456">
        <v>12</v>
      </c>
      <c r="E64" s="457"/>
      <c r="F64" s="339">
        <v>2</v>
      </c>
      <c r="G64" s="339"/>
      <c r="H64" s="339"/>
      <c r="I64" s="339"/>
      <c r="J64" s="339"/>
      <c r="K64" s="339"/>
      <c r="L64" s="340">
        <v>10</v>
      </c>
      <c r="M64" s="7"/>
      <c r="N64" s="7"/>
      <c r="O64" s="7"/>
    </row>
    <row r="65" spans="1:20">
      <c r="A65" s="2024"/>
      <c r="B65" s="2025"/>
      <c r="C65" s="110">
        <v>2017</v>
      </c>
      <c r="D65" s="111">
        <v>10</v>
      </c>
      <c r="E65" s="112"/>
      <c r="F65" s="38"/>
      <c r="G65" s="38"/>
      <c r="H65" s="38"/>
      <c r="I65" s="38"/>
      <c r="J65" s="38"/>
      <c r="K65" s="38"/>
      <c r="L65" s="88">
        <v>10</v>
      </c>
      <c r="M65" s="7"/>
      <c r="N65" s="7"/>
      <c r="O65" s="7"/>
    </row>
    <row r="66" spans="1:20">
      <c r="A66" s="2024"/>
      <c r="B66" s="2025"/>
      <c r="C66" s="110">
        <v>2018</v>
      </c>
      <c r="D66" s="111"/>
      <c r="E66" s="112"/>
      <c r="F66" s="38"/>
      <c r="G66" s="38"/>
      <c r="H66" s="38"/>
      <c r="I66" s="38"/>
      <c r="J66" s="38"/>
      <c r="K66" s="38"/>
      <c r="L66" s="88"/>
      <c r="M66" s="7"/>
      <c r="N66" s="7"/>
      <c r="O66" s="7"/>
    </row>
    <row r="67" spans="1:20" ht="17.25" customHeight="1">
      <c r="A67" s="2024"/>
      <c r="B67" s="2025"/>
      <c r="C67" s="110">
        <v>2019</v>
      </c>
      <c r="D67" s="111"/>
      <c r="E67" s="112"/>
      <c r="F67" s="38"/>
      <c r="G67" s="38"/>
      <c r="H67" s="38"/>
      <c r="I67" s="38"/>
      <c r="J67" s="38"/>
      <c r="K67" s="38"/>
      <c r="L67" s="88"/>
      <c r="M67" s="7"/>
      <c r="N67" s="7"/>
      <c r="O67" s="7"/>
    </row>
    <row r="68" spans="1:20" ht="16.5" customHeight="1">
      <c r="A68" s="2024"/>
      <c r="B68" s="2025"/>
      <c r="C68" s="110">
        <v>2020</v>
      </c>
      <c r="D68" s="111"/>
      <c r="E68" s="112"/>
      <c r="F68" s="38"/>
      <c r="G68" s="38"/>
      <c r="H68" s="38"/>
      <c r="I68" s="38"/>
      <c r="J68" s="38"/>
      <c r="K68" s="38"/>
      <c r="L68" s="88"/>
      <c r="M68" s="78"/>
      <c r="N68" s="78"/>
      <c r="O68" s="78"/>
    </row>
    <row r="69" spans="1:20" ht="18" customHeight="1" thickBot="1">
      <c r="A69" s="2028"/>
      <c r="B69" s="2027"/>
      <c r="C69" s="113" t="s">
        <v>13</v>
      </c>
      <c r="D69" s="114">
        <f>SUM(D62:D68)</f>
        <v>22</v>
      </c>
      <c r="E69" s="115">
        <f>SUM(E62:E68)</f>
        <v>0</v>
      </c>
      <c r="F69" s="116">
        <f t="shared" ref="F69:I69" si="4">SUM(F62:F68)</f>
        <v>2</v>
      </c>
      <c r="G69" s="116">
        <f t="shared" si="4"/>
        <v>0</v>
      </c>
      <c r="H69" s="116">
        <f t="shared" si="4"/>
        <v>0</v>
      </c>
      <c r="I69" s="116">
        <f t="shared" si="4"/>
        <v>0</v>
      </c>
      <c r="J69" s="116"/>
      <c r="K69" s="116">
        <f>SUM(K62:K68)</f>
        <v>0</v>
      </c>
      <c r="L69" s="117">
        <f>SUM(L62:L68)</f>
        <v>20</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66" t="s">
        <v>47</v>
      </c>
      <c r="B71" s="372"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2029" t="s">
        <v>208</v>
      </c>
      <c r="B72" s="2025"/>
      <c r="C72" s="72">
        <v>2014</v>
      </c>
      <c r="D72" s="131"/>
      <c r="E72" s="131"/>
      <c r="F72" s="131"/>
      <c r="G72" s="132">
        <f>SUM(D72:F72)</f>
        <v>0</v>
      </c>
      <c r="H72" s="30"/>
      <c r="I72" s="133"/>
      <c r="J72" s="109"/>
      <c r="K72" s="109"/>
      <c r="L72" s="109"/>
      <c r="M72" s="109"/>
      <c r="N72" s="109"/>
      <c r="O72" s="134"/>
    </row>
    <row r="73" spans="1:20">
      <c r="A73" s="2030"/>
      <c r="B73" s="2025"/>
      <c r="C73" s="73">
        <v>2015</v>
      </c>
      <c r="D73" s="458"/>
      <c r="E73" s="458"/>
      <c r="F73" s="458">
        <v>6</v>
      </c>
      <c r="G73" s="132">
        <v>6</v>
      </c>
      <c r="H73" s="37"/>
      <c r="I73" s="37"/>
      <c r="J73" s="38"/>
      <c r="K73" s="38"/>
      <c r="L73" s="38"/>
      <c r="M73" s="38"/>
      <c r="N73" s="38"/>
      <c r="O73" s="88">
        <v>6</v>
      </c>
    </row>
    <row r="74" spans="1:20">
      <c r="A74" s="2030"/>
      <c r="B74" s="2025"/>
      <c r="C74" s="73">
        <v>2016</v>
      </c>
      <c r="D74" s="459">
        <v>1</v>
      </c>
      <c r="E74" s="459">
        <v>7</v>
      </c>
      <c r="F74" s="459">
        <v>2</v>
      </c>
      <c r="G74" s="132">
        <f t="shared" ref="G74:G78" si="5">SUM(D74:F74)</f>
        <v>10</v>
      </c>
      <c r="H74" s="460"/>
      <c r="I74" s="460">
        <v>4</v>
      </c>
      <c r="J74" s="342">
        <v>4</v>
      </c>
      <c r="K74" s="342"/>
      <c r="L74" s="342"/>
      <c r="M74" s="342"/>
      <c r="N74" s="342"/>
      <c r="O74" s="343">
        <v>2</v>
      </c>
    </row>
    <row r="75" spans="1:20">
      <c r="A75" s="2030"/>
      <c r="B75" s="2025"/>
      <c r="C75" s="73">
        <v>2017</v>
      </c>
      <c r="D75" s="135"/>
      <c r="E75" s="135">
        <v>5</v>
      </c>
      <c r="F75" s="135"/>
      <c r="G75" s="132">
        <f t="shared" si="5"/>
        <v>5</v>
      </c>
      <c r="H75" s="37">
        <v>4</v>
      </c>
      <c r="I75" s="37"/>
      <c r="J75" s="38"/>
      <c r="K75" s="38">
        <v>1</v>
      </c>
      <c r="L75" s="38"/>
      <c r="M75" s="38"/>
      <c r="N75" s="38"/>
      <c r="O75" s="88"/>
    </row>
    <row r="76" spans="1:20">
      <c r="A76" s="2030"/>
      <c r="B76" s="2025"/>
      <c r="C76" s="73">
        <v>2018</v>
      </c>
      <c r="D76" s="135"/>
      <c r="E76" s="135"/>
      <c r="F76" s="135"/>
      <c r="G76" s="132">
        <f t="shared" si="5"/>
        <v>0</v>
      </c>
      <c r="H76" s="37"/>
      <c r="I76" s="37"/>
      <c r="J76" s="38"/>
      <c r="K76" s="38"/>
      <c r="L76" s="38"/>
      <c r="M76" s="38"/>
      <c r="N76" s="38"/>
      <c r="O76" s="88"/>
    </row>
    <row r="77" spans="1:20" ht="15.75" customHeight="1">
      <c r="A77" s="2030"/>
      <c r="B77" s="2025"/>
      <c r="C77" s="73">
        <v>2019</v>
      </c>
      <c r="D77" s="135"/>
      <c r="E77" s="135"/>
      <c r="F77" s="135"/>
      <c r="G77" s="132">
        <f t="shared" si="5"/>
        <v>0</v>
      </c>
      <c r="H77" s="37"/>
      <c r="I77" s="37"/>
      <c r="J77" s="38"/>
      <c r="K77" s="38"/>
      <c r="L77" s="38"/>
      <c r="M77" s="38"/>
      <c r="N77" s="38"/>
      <c r="O77" s="88"/>
    </row>
    <row r="78" spans="1:20" ht="17.25" customHeight="1">
      <c r="A78" s="2030"/>
      <c r="B78" s="2025"/>
      <c r="C78" s="73">
        <v>2020</v>
      </c>
      <c r="D78" s="135"/>
      <c r="E78" s="135"/>
      <c r="F78" s="135"/>
      <c r="G78" s="132">
        <f t="shared" si="5"/>
        <v>0</v>
      </c>
      <c r="H78" s="37"/>
      <c r="I78" s="37"/>
      <c r="J78" s="38"/>
      <c r="K78" s="38"/>
      <c r="L78" s="38"/>
      <c r="M78" s="38"/>
      <c r="N78" s="38"/>
      <c r="O78" s="88"/>
    </row>
    <row r="79" spans="1:20" ht="20.25" customHeight="1" thickBot="1">
      <c r="A79" s="2028"/>
      <c r="B79" s="2027"/>
      <c r="C79" s="136" t="s">
        <v>13</v>
      </c>
      <c r="D79" s="114">
        <f>SUM(D72:D78)</f>
        <v>1</v>
      </c>
      <c r="E79" s="114">
        <f>SUM(E72:E78)</f>
        <v>12</v>
      </c>
      <c r="F79" s="114">
        <f>SUM(F72:F78)</f>
        <v>8</v>
      </c>
      <c r="G79" s="137">
        <f>SUM(G72:G78)</f>
        <v>21</v>
      </c>
      <c r="H79" s="138">
        <v>0</v>
      </c>
      <c r="I79" s="139">
        <f t="shared" ref="I79:O79" si="6">SUM(I72:I78)</f>
        <v>4</v>
      </c>
      <c r="J79" s="116">
        <f t="shared" si="6"/>
        <v>4</v>
      </c>
      <c r="K79" s="116">
        <f t="shared" si="6"/>
        <v>1</v>
      </c>
      <c r="L79" s="116">
        <f t="shared" si="6"/>
        <v>0</v>
      </c>
      <c r="M79" s="116">
        <f t="shared" si="6"/>
        <v>0</v>
      </c>
      <c r="N79" s="116">
        <f t="shared" si="6"/>
        <v>0</v>
      </c>
      <c r="O79" s="117">
        <f t="shared" si="6"/>
        <v>8</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147" t="s">
        <v>56</v>
      </c>
      <c r="B84" s="394" t="s">
        <v>178</v>
      </c>
      <c r="C84" s="149" t="s">
        <v>9</v>
      </c>
      <c r="D84" s="150" t="s">
        <v>58</v>
      </c>
      <c r="E84" s="151" t="s">
        <v>59</v>
      </c>
      <c r="F84" s="152" t="s">
        <v>60</v>
      </c>
      <c r="G84" s="152" t="s">
        <v>61</v>
      </c>
      <c r="H84" s="152" t="s">
        <v>62</v>
      </c>
      <c r="I84" s="152" t="s">
        <v>63</v>
      </c>
      <c r="J84" s="152" t="s">
        <v>64</v>
      </c>
      <c r="K84" s="153" t="s">
        <v>65</v>
      </c>
    </row>
    <row r="85" spans="1:16" ht="15" customHeight="1">
      <c r="A85" s="1938"/>
      <c r="B85" s="1899"/>
      <c r="C85" s="72">
        <v>2014</v>
      </c>
      <c r="D85" s="154"/>
      <c r="E85" s="155"/>
      <c r="F85" s="31"/>
      <c r="G85" s="31"/>
      <c r="H85" s="31"/>
      <c r="I85" s="31"/>
      <c r="J85" s="31"/>
      <c r="K85" s="34"/>
    </row>
    <row r="86" spans="1:16">
      <c r="A86" s="1939"/>
      <c r="B86" s="1899"/>
      <c r="C86" s="73">
        <v>2015</v>
      </c>
      <c r="D86" s="156"/>
      <c r="E86" s="112"/>
      <c r="F86" s="38"/>
      <c r="G86" s="38"/>
      <c r="H86" s="38"/>
      <c r="I86" s="38"/>
      <c r="J86" s="38"/>
      <c r="K86" s="88"/>
    </row>
    <row r="87" spans="1:16">
      <c r="A87" s="1939"/>
      <c r="B87" s="1899"/>
      <c r="C87" s="73">
        <v>2016</v>
      </c>
      <c r="D87" s="156"/>
      <c r="E87" s="112"/>
      <c r="F87" s="38"/>
      <c r="G87" s="38"/>
      <c r="H87" s="38"/>
      <c r="I87" s="38"/>
      <c r="J87" s="38"/>
      <c r="K87" s="88"/>
    </row>
    <row r="88" spans="1:16">
      <c r="A88" s="1939"/>
      <c r="B88" s="1899"/>
      <c r="C88" s="73">
        <v>2017</v>
      </c>
      <c r="D88" s="156"/>
      <c r="E88" s="112"/>
      <c r="F88" s="38"/>
      <c r="G88" s="38"/>
      <c r="H88" s="38"/>
      <c r="I88" s="38"/>
      <c r="J88" s="38"/>
      <c r="K88" s="88"/>
    </row>
    <row r="89" spans="1:16">
      <c r="A89" s="1939"/>
      <c r="B89" s="1899"/>
      <c r="C89" s="73">
        <v>2018</v>
      </c>
      <c r="D89" s="156"/>
      <c r="E89" s="112"/>
      <c r="F89" s="38"/>
      <c r="G89" s="38"/>
      <c r="H89" s="38"/>
      <c r="I89" s="38"/>
      <c r="J89" s="38"/>
      <c r="K89" s="88"/>
    </row>
    <row r="90" spans="1:16">
      <c r="A90" s="1939"/>
      <c r="B90" s="1899"/>
      <c r="C90" s="73">
        <v>2019</v>
      </c>
      <c r="D90" s="156"/>
      <c r="E90" s="112"/>
      <c r="F90" s="38"/>
      <c r="G90" s="38"/>
      <c r="H90" s="38"/>
      <c r="I90" s="38"/>
      <c r="J90" s="38"/>
      <c r="K90" s="88"/>
    </row>
    <row r="91" spans="1:16">
      <c r="A91" s="1939"/>
      <c r="B91" s="1899"/>
      <c r="C91" s="73">
        <v>2020</v>
      </c>
      <c r="D91" s="156"/>
      <c r="E91" s="112"/>
      <c r="F91" s="38"/>
      <c r="G91" s="38"/>
      <c r="H91" s="38"/>
      <c r="I91" s="38"/>
      <c r="J91" s="38"/>
      <c r="K91" s="88"/>
    </row>
    <row r="92" spans="1:16" ht="18" customHeight="1" thickBot="1">
      <c r="A92" s="1940"/>
      <c r="B92" s="1900"/>
      <c r="C92" s="136" t="s">
        <v>13</v>
      </c>
      <c r="D92" s="157">
        <f t="shared" ref="D92:I92" si="7">SUM(D85:D91)</f>
        <v>0</v>
      </c>
      <c r="E92" s="115">
        <f t="shared" si="7"/>
        <v>0</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1909" t="s">
        <v>68</v>
      </c>
      <c r="B96" s="1911" t="s">
        <v>179</v>
      </c>
      <c r="C96" s="1924" t="s">
        <v>9</v>
      </c>
      <c r="D96" s="1916" t="s">
        <v>70</v>
      </c>
      <c r="E96" s="1917"/>
      <c r="F96" s="162" t="s">
        <v>71</v>
      </c>
      <c r="G96" s="163"/>
      <c r="H96" s="163"/>
      <c r="I96" s="163"/>
      <c r="J96" s="163"/>
      <c r="K96" s="163"/>
      <c r="L96" s="163"/>
      <c r="M96" s="164"/>
      <c r="N96" s="165"/>
      <c r="O96" s="165"/>
      <c r="P96" s="165"/>
    </row>
    <row r="97" spans="1:16" ht="100.5" customHeight="1">
      <c r="A97" s="1910"/>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1898" t="s">
        <v>209</v>
      </c>
      <c r="B98" s="1899"/>
      <c r="C98" s="106">
        <v>2014</v>
      </c>
      <c r="D98" s="30"/>
      <c r="E98" s="31"/>
      <c r="F98" s="174"/>
      <c r="G98" s="175"/>
      <c r="H98" s="175"/>
      <c r="I98" s="175"/>
      <c r="J98" s="175"/>
      <c r="K98" s="175"/>
      <c r="L98" s="175"/>
      <c r="M98" s="176"/>
      <c r="N98" s="165"/>
      <c r="O98" s="165"/>
      <c r="P98" s="165"/>
    </row>
    <row r="99" spans="1:16" ht="16.5" customHeight="1">
      <c r="A99" s="1891"/>
      <c r="B99" s="1899"/>
      <c r="C99" s="110">
        <v>2015</v>
      </c>
      <c r="D99" s="37">
        <v>1</v>
      </c>
      <c r="E99" s="38">
        <v>1</v>
      </c>
      <c r="F99" s="177"/>
      <c r="G99" s="178"/>
      <c r="H99" s="178"/>
      <c r="I99" s="178"/>
      <c r="J99" s="178"/>
      <c r="K99" s="178"/>
      <c r="L99" s="178"/>
      <c r="M99" s="179">
        <v>1</v>
      </c>
      <c r="N99" s="165"/>
      <c r="O99" s="165"/>
      <c r="P99" s="165"/>
    </row>
    <row r="100" spans="1:16" ht="16.5" customHeight="1">
      <c r="A100" s="1891"/>
      <c r="B100" s="1899"/>
      <c r="C100" s="110">
        <v>2016</v>
      </c>
      <c r="D100" s="37">
        <v>1</v>
      </c>
      <c r="E100" s="38">
        <v>6</v>
      </c>
      <c r="F100" s="177"/>
      <c r="G100" s="178"/>
      <c r="H100" s="178"/>
      <c r="I100" s="178"/>
      <c r="J100" s="178"/>
      <c r="K100" s="178"/>
      <c r="L100" s="178"/>
      <c r="M100" s="179">
        <v>1</v>
      </c>
      <c r="N100" s="165"/>
      <c r="O100" s="165"/>
      <c r="P100" s="165"/>
    </row>
    <row r="101" spans="1:16" ht="16.5" customHeight="1">
      <c r="A101" s="1891"/>
      <c r="B101" s="1899"/>
      <c r="C101" s="110">
        <v>2017</v>
      </c>
      <c r="D101" s="37">
        <v>1</v>
      </c>
      <c r="E101" s="38">
        <v>7</v>
      </c>
      <c r="F101" s="177"/>
      <c r="G101" s="178"/>
      <c r="H101" s="178"/>
      <c r="I101" s="178"/>
      <c r="J101" s="178"/>
      <c r="K101" s="178"/>
      <c r="L101" s="178"/>
      <c r="M101" s="179">
        <v>1</v>
      </c>
      <c r="N101" s="165"/>
      <c r="O101" s="165"/>
      <c r="P101" s="165"/>
    </row>
    <row r="102" spans="1:16" ht="15.75" customHeight="1">
      <c r="A102" s="1891"/>
      <c r="B102" s="1899"/>
      <c r="C102" s="110">
        <v>2018</v>
      </c>
      <c r="D102" s="37"/>
      <c r="E102" s="38"/>
      <c r="F102" s="177"/>
      <c r="G102" s="178"/>
      <c r="H102" s="178"/>
      <c r="I102" s="178"/>
      <c r="J102" s="178"/>
      <c r="K102" s="178"/>
      <c r="L102" s="178"/>
      <c r="M102" s="179"/>
      <c r="N102" s="165"/>
      <c r="O102" s="165"/>
      <c r="P102" s="165"/>
    </row>
    <row r="103" spans="1:16" ht="14.25" customHeight="1">
      <c r="A103" s="1891"/>
      <c r="B103" s="1899"/>
      <c r="C103" s="110">
        <v>2019</v>
      </c>
      <c r="D103" s="37"/>
      <c r="E103" s="38"/>
      <c r="F103" s="177"/>
      <c r="G103" s="178"/>
      <c r="H103" s="178"/>
      <c r="I103" s="178"/>
      <c r="J103" s="178"/>
      <c r="K103" s="178"/>
      <c r="L103" s="178"/>
      <c r="M103" s="179"/>
      <c r="N103" s="165"/>
      <c r="O103" s="165"/>
      <c r="P103" s="165"/>
    </row>
    <row r="104" spans="1:16" ht="14.25" customHeight="1">
      <c r="A104" s="1891"/>
      <c r="B104" s="1899"/>
      <c r="C104" s="110">
        <v>2020</v>
      </c>
      <c r="D104" s="37"/>
      <c r="E104" s="38"/>
      <c r="F104" s="177"/>
      <c r="G104" s="178"/>
      <c r="H104" s="178"/>
      <c r="I104" s="178"/>
      <c r="J104" s="178"/>
      <c r="K104" s="178"/>
      <c r="L104" s="178"/>
      <c r="M104" s="179"/>
      <c r="N104" s="165"/>
      <c r="O104" s="165"/>
      <c r="P104" s="165"/>
    </row>
    <row r="105" spans="1:16" ht="19.5" customHeight="1" thickBot="1">
      <c r="A105" s="1915"/>
      <c r="B105" s="1900"/>
      <c r="C105" s="113" t="s">
        <v>13</v>
      </c>
      <c r="D105" s="139">
        <f>SUM(D98:D104)</f>
        <v>3</v>
      </c>
      <c r="E105" s="116">
        <f t="shared" ref="E105:K105" si="8">SUM(E98:E104)</f>
        <v>14</v>
      </c>
      <c r="F105" s="180">
        <f t="shared" si="8"/>
        <v>0</v>
      </c>
      <c r="G105" s="181">
        <f t="shared" si="8"/>
        <v>0</v>
      </c>
      <c r="H105" s="181">
        <f t="shared" si="8"/>
        <v>0</v>
      </c>
      <c r="I105" s="181">
        <f>SUM(I98:I104)</f>
        <v>0</v>
      </c>
      <c r="J105" s="181">
        <f t="shared" si="8"/>
        <v>0</v>
      </c>
      <c r="K105" s="181">
        <f t="shared" si="8"/>
        <v>0</v>
      </c>
      <c r="L105" s="181">
        <f>SUM(L98:L104)</f>
        <v>0</v>
      </c>
      <c r="M105" s="182">
        <f>SUM(M98:M104)</f>
        <v>3</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1909" t="s">
        <v>77</v>
      </c>
      <c r="B107" s="1911" t="s">
        <v>179</v>
      </c>
      <c r="C107" s="1924" t="s">
        <v>9</v>
      </c>
      <c r="D107" s="1926" t="s">
        <v>78</v>
      </c>
      <c r="E107" s="162" t="s">
        <v>79</v>
      </c>
      <c r="F107" s="163"/>
      <c r="G107" s="163"/>
      <c r="H107" s="163"/>
      <c r="I107" s="163"/>
      <c r="J107" s="163"/>
      <c r="K107" s="163"/>
      <c r="L107" s="164"/>
      <c r="M107" s="185"/>
      <c r="N107" s="185"/>
    </row>
    <row r="108" spans="1:16" ht="103.5"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1898"/>
      <c r="B109" s="1899"/>
      <c r="C109" s="106">
        <v>2014</v>
      </c>
      <c r="D109" s="31"/>
      <c r="E109" s="174"/>
      <c r="F109" s="175"/>
      <c r="G109" s="175"/>
      <c r="H109" s="175"/>
      <c r="I109" s="175"/>
      <c r="J109" s="175"/>
      <c r="K109" s="175"/>
      <c r="L109" s="176"/>
      <c r="M109" s="185"/>
      <c r="N109" s="185"/>
    </row>
    <row r="110" spans="1:16">
      <c r="A110" s="1891"/>
      <c r="B110" s="1899"/>
      <c r="C110" s="110">
        <v>2015</v>
      </c>
      <c r="D110" s="38"/>
      <c r="E110" s="177"/>
      <c r="F110" s="178"/>
      <c r="G110" s="178"/>
      <c r="H110" s="178"/>
      <c r="I110" s="178"/>
      <c r="J110" s="178"/>
      <c r="K110" s="178"/>
      <c r="L110" s="179"/>
      <c r="M110" s="185"/>
      <c r="N110" s="185"/>
    </row>
    <row r="111" spans="1:16">
      <c r="A111" s="1891"/>
      <c r="B111" s="1899"/>
      <c r="C111" s="110">
        <v>2016</v>
      </c>
      <c r="D111" s="38"/>
      <c r="E111" s="177"/>
      <c r="F111" s="178"/>
      <c r="G111" s="178"/>
      <c r="H111" s="178"/>
      <c r="I111" s="178"/>
      <c r="J111" s="178"/>
      <c r="K111" s="178"/>
      <c r="L111" s="179"/>
      <c r="M111" s="185"/>
      <c r="N111" s="185"/>
    </row>
    <row r="112" spans="1:16">
      <c r="A112" s="1891"/>
      <c r="B112" s="1899"/>
      <c r="C112" s="110">
        <v>2017</v>
      </c>
      <c r="D112" s="38"/>
      <c r="E112" s="177"/>
      <c r="F112" s="178"/>
      <c r="G112" s="178"/>
      <c r="H112" s="178"/>
      <c r="I112" s="178"/>
      <c r="J112" s="178"/>
      <c r="K112" s="178"/>
      <c r="L112" s="179"/>
      <c r="M112" s="185"/>
      <c r="N112" s="185"/>
    </row>
    <row r="113" spans="1:14">
      <c r="A113" s="1891"/>
      <c r="B113" s="1899"/>
      <c r="C113" s="110">
        <v>2018</v>
      </c>
      <c r="D113" s="38"/>
      <c r="E113" s="177"/>
      <c r="F113" s="178"/>
      <c r="G113" s="178"/>
      <c r="H113" s="178"/>
      <c r="I113" s="178"/>
      <c r="J113" s="178"/>
      <c r="K113" s="178"/>
      <c r="L113" s="179"/>
      <c r="M113" s="185"/>
      <c r="N113" s="185"/>
    </row>
    <row r="114" spans="1:14">
      <c r="A114" s="1891"/>
      <c r="B114" s="1899"/>
      <c r="C114" s="110">
        <v>2019</v>
      </c>
      <c r="D114" s="38"/>
      <c r="E114" s="177"/>
      <c r="F114" s="178"/>
      <c r="G114" s="178"/>
      <c r="H114" s="178"/>
      <c r="I114" s="178"/>
      <c r="J114" s="178"/>
      <c r="K114" s="178"/>
      <c r="L114" s="179"/>
      <c r="M114" s="185"/>
      <c r="N114" s="185"/>
    </row>
    <row r="115" spans="1:14">
      <c r="A115" s="1891"/>
      <c r="B115" s="1899"/>
      <c r="C115" s="110">
        <v>2020</v>
      </c>
      <c r="D115" s="38"/>
      <c r="E115" s="177"/>
      <c r="F115" s="178"/>
      <c r="G115" s="178"/>
      <c r="H115" s="178"/>
      <c r="I115" s="178"/>
      <c r="J115" s="178"/>
      <c r="K115" s="178"/>
      <c r="L115" s="179"/>
      <c r="M115" s="185"/>
      <c r="N115" s="185"/>
    </row>
    <row r="116" spans="1:14" ht="25.5" customHeight="1" thickBot="1">
      <c r="A116" s="1915"/>
      <c r="B116" s="1900"/>
      <c r="C116" s="113" t="s">
        <v>13</v>
      </c>
      <c r="D116" s="116">
        <f t="shared" ref="D116:I116" si="9">SUM(D109:D115)</f>
        <v>0</v>
      </c>
      <c r="E116" s="180">
        <f t="shared" si="9"/>
        <v>0</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1909" t="s">
        <v>81</v>
      </c>
      <c r="B118" s="1911" t="s">
        <v>179</v>
      </c>
      <c r="C118" s="1924" t="s">
        <v>9</v>
      </c>
      <c r="D118" s="1926" t="s">
        <v>82</v>
      </c>
      <c r="E118" s="162" t="s">
        <v>79</v>
      </c>
      <c r="F118" s="163"/>
      <c r="G118" s="163"/>
      <c r="H118" s="163"/>
      <c r="I118" s="163"/>
      <c r="J118" s="163"/>
      <c r="K118" s="163"/>
      <c r="L118" s="164"/>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1898"/>
      <c r="B120" s="1899"/>
      <c r="C120" s="106">
        <v>2014</v>
      </c>
      <c r="D120" s="31"/>
      <c r="E120" s="174"/>
      <c r="F120" s="175"/>
      <c r="G120" s="175"/>
      <c r="H120" s="175"/>
      <c r="I120" s="175"/>
      <c r="J120" s="175"/>
      <c r="K120" s="175"/>
      <c r="L120" s="176"/>
      <c r="M120" s="185"/>
      <c r="N120" s="185"/>
    </row>
    <row r="121" spans="1:14">
      <c r="A121" s="1891"/>
      <c r="B121" s="1899"/>
      <c r="C121" s="110">
        <v>2015</v>
      </c>
      <c r="D121" s="38"/>
      <c r="E121" s="177"/>
      <c r="F121" s="178"/>
      <c r="G121" s="178"/>
      <c r="H121" s="178"/>
      <c r="I121" s="178"/>
      <c r="J121" s="178"/>
      <c r="K121" s="178"/>
      <c r="L121" s="179"/>
      <c r="M121" s="185"/>
      <c r="N121" s="185"/>
    </row>
    <row r="122" spans="1:14">
      <c r="A122" s="1891"/>
      <c r="B122" s="1899"/>
      <c r="C122" s="110">
        <v>2016</v>
      </c>
      <c r="D122" s="38"/>
      <c r="E122" s="177"/>
      <c r="F122" s="178"/>
      <c r="G122" s="178"/>
      <c r="H122" s="178"/>
      <c r="I122" s="178"/>
      <c r="J122" s="178"/>
      <c r="K122" s="178"/>
      <c r="L122" s="179"/>
      <c r="M122" s="185"/>
      <c r="N122" s="185"/>
    </row>
    <row r="123" spans="1:14">
      <c r="A123" s="1891"/>
      <c r="B123" s="1899"/>
      <c r="C123" s="110">
        <v>2017</v>
      </c>
      <c r="D123" s="38"/>
      <c r="E123" s="177"/>
      <c r="F123" s="178"/>
      <c r="G123" s="178"/>
      <c r="H123" s="178"/>
      <c r="I123" s="178"/>
      <c r="J123" s="178"/>
      <c r="K123" s="178"/>
      <c r="L123" s="179"/>
      <c r="M123" s="185"/>
      <c r="N123" s="185"/>
    </row>
    <row r="124" spans="1:14">
      <c r="A124" s="1891"/>
      <c r="B124" s="1899"/>
      <c r="C124" s="110">
        <v>2018</v>
      </c>
      <c r="D124" s="38"/>
      <c r="E124" s="177"/>
      <c r="F124" s="178"/>
      <c r="G124" s="178"/>
      <c r="H124" s="178"/>
      <c r="I124" s="178"/>
      <c r="J124" s="178"/>
      <c r="K124" s="178"/>
      <c r="L124" s="179"/>
      <c r="M124" s="185"/>
      <c r="N124" s="185"/>
    </row>
    <row r="125" spans="1:14">
      <c r="A125" s="1891"/>
      <c r="B125" s="1899"/>
      <c r="C125" s="110">
        <v>2019</v>
      </c>
      <c r="D125" s="38"/>
      <c r="E125" s="177"/>
      <c r="F125" s="178"/>
      <c r="G125" s="178"/>
      <c r="H125" s="178"/>
      <c r="I125" s="178"/>
      <c r="J125" s="178"/>
      <c r="K125" s="178"/>
      <c r="L125" s="179"/>
      <c r="M125" s="185"/>
      <c r="N125" s="185"/>
    </row>
    <row r="126" spans="1:14">
      <c r="A126" s="1891"/>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1909" t="s">
        <v>84</v>
      </c>
      <c r="B129" s="1911" t="s">
        <v>179</v>
      </c>
      <c r="C129" s="188" t="s">
        <v>9</v>
      </c>
      <c r="D129" s="189" t="s">
        <v>85</v>
      </c>
      <c r="E129" s="190"/>
      <c r="F129" s="190"/>
      <c r="G129" s="191"/>
      <c r="H129" s="185"/>
      <c r="I129" s="185"/>
      <c r="J129" s="185"/>
      <c r="K129" s="185"/>
      <c r="L129" s="185"/>
      <c r="M129" s="185"/>
      <c r="N129" s="185"/>
    </row>
    <row r="130" spans="1:16" ht="77.25" customHeight="1">
      <c r="A130" s="1910"/>
      <c r="B130" s="1912"/>
      <c r="C130" s="192"/>
      <c r="D130" s="166" t="s">
        <v>86</v>
      </c>
      <c r="E130" s="193" t="s">
        <v>87</v>
      </c>
      <c r="F130" s="167" t="s">
        <v>88</v>
      </c>
      <c r="G130" s="194" t="s">
        <v>13</v>
      </c>
      <c r="H130" s="185"/>
      <c r="I130" s="185"/>
      <c r="J130" s="185"/>
      <c r="K130" s="185"/>
      <c r="L130" s="185"/>
      <c r="M130" s="185"/>
      <c r="N130" s="185"/>
    </row>
    <row r="131" spans="1:16" ht="15" customHeight="1">
      <c r="A131" s="1874" t="s">
        <v>210</v>
      </c>
      <c r="B131" s="1855"/>
      <c r="C131" s="106">
        <v>2015</v>
      </c>
      <c r="D131" s="30">
        <v>16</v>
      </c>
      <c r="E131" s="31"/>
      <c r="F131" s="31"/>
      <c r="G131" s="195">
        <v>16</v>
      </c>
      <c r="H131" s="185"/>
      <c r="I131" s="185"/>
      <c r="J131" s="185"/>
      <c r="K131" s="185"/>
      <c r="L131" s="185"/>
      <c r="M131" s="185"/>
      <c r="N131" s="185"/>
    </row>
    <row r="132" spans="1:16">
      <c r="A132" s="1854"/>
      <c r="B132" s="1855"/>
      <c r="C132" s="110">
        <v>2016</v>
      </c>
      <c r="D132" s="37">
        <v>78</v>
      </c>
      <c r="E132" s="38"/>
      <c r="F132" s="38"/>
      <c r="G132" s="195">
        <f t="shared" ref="G132:G136" si="11">SUM(D132:F132)</f>
        <v>78</v>
      </c>
      <c r="H132" s="185"/>
      <c r="I132" s="185"/>
      <c r="J132" s="185"/>
      <c r="K132" s="185"/>
      <c r="L132" s="185"/>
      <c r="M132" s="185"/>
      <c r="N132" s="185"/>
    </row>
    <row r="133" spans="1:16">
      <c r="A133" s="1854"/>
      <c r="B133" s="1855"/>
      <c r="C133" s="110">
        <v>2017</v>
      </c>
      <c r="D133" s="37">
        <v>88</v>
      </c>
      <c r="E133" s="38"/>
      <c r="F133" s="38"/>
      <c r="G133" s="195">
        <v>88</v>
      </c>
      <c r="H133" s="185"/>
      <c r="I133" s="185"/>
      <c r="J133" s="185"/>
      <c r="K133" s="185"/>
      <c r="L133" s="185"/>
      <c r="M133" s="185"/>
      <c r="N133" s="185"/>
    </row>
    <row r="134" spans="1:16">
      <c r="A134" s="1854"/>
      <c r="B134" s="1855"/>
      <c r="C134" s="110">
        <v>2018</v>
      </c>
      <c r="D134" s="37"/>
      <c r="E134" s="38"/>
      <c r="F134" s="38"/>
      <c r="G134" s="195">
        <f t="shared" si="11"/>
        <v>0</v>
      </c>
      <c r="H134" s="185"/>
      <c r="I134" s="185"/>
      <c r="J134" s="185"/>
      <c r="K134" s="185"/>
      <c r="L134" s="185"/>
      <c r="M134" s="185"/>
      <c r="N134" s="185"/>
    </row>
    <row r="135" spans="1:16">
      <c r="A135" s="1854"/>
      <c r="B135" s="1855"/>
      <c r="C135" s="110">
        <v>2019</v>
      </c>
      <c r="D135" s="37"/>
      <c r="E135" s="38"/>
      <c r="F135" s="38"/>
      <c r="G135" s="195">
        <f t="shared" si="11"/>
        <v>0</v>
      </c>
      <c r="H135" s="185"/>
      <c r="I135" s="185"/>
      <c r="J135" s="185"/>
      <c r="K135" s="185"/>
      <c r="L135" s="185"/>
      <c r="M135" s="185"/>
      <c r="N135" s="185"/>
    </row>
    <row r="136" spans="1:16">
      <c r="A136" s="1854"/>
      <c r="B136" s="1855"/>
      <c r="C136" s="110">
        <v>2020</v>
      </c>
      <c r="D136" s="37"/>
      <c r="E136" s="38"/>
      <c r="F136" s="38"/>
      <c r="G136" s="195">
        <f t="shared" si="11"/>
        <v>0</v>
      </c>
      <c r="H136" s="185"/>
      <c r="I136" s="185"/>
      <c r="J136" s="185"/>
      <c r="K136" s="185"/>
      <c r="L136" s="185"/>
      <c r="M136" s="185"/>
      <c r="N136" s="185"/>
    </row>
    <row r="137" spans="1:16" ht="17.25" customHeight="1" thickBot="1">
      <c r="A137" s="1856"/>
      <c r="B137" s="1857"/>
      <c r="C137" s="113" t="s">
        <v>13</v>
      </c>
      <c r="D137" s="139">
        <f>SUM(D131:D136)</f>
        <v>182</v>
      </c>
      <c r="E137" s="139">
        <f t="shared" ref="E137:F137" si="12">SUM(E131:E136)</f>
        <v>0</v>
      </c>
      <c r="F137" s="139">
        <f t="shared" si="12"/>
        <v>0</v>
      </c>
      <c r="G137" s="196">
        <f>SUM(G131:G136)</f>
        <v>182</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1913" t="s">
        <v>91</v>
      </c>
      <c r="B142" s="1903" t="s">
        <v>179</v>
      </c>
      <c r="C142" s="1907" t="s">
        <v>9</v>
      </c>
      <c r="D142" s="203" t="s">
        <v>92</v>
      </c>
      <c r="E142" s="204"/>
      <c r="F142" s="204"/>
      <c r="G142" s="204"/>
      <c r="H142" s="204"/>
      <c r="I142" s="205"/>
      <c r="J142" s="1895" t="s">
        <v>93</v>
      </c>
      <c r="K142" s="1896"/>
      <c r="L142" s="1896"/>
      <c r="M142" s="1896"/>
      <c r="N142" s="1897"/>
      <c r="O142" s="165"/>
      <c r="P142" s="165"/>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c r="B144" s="1899"/>
      <c r="C144" s="106">
        <v>2014</v>
      </c>
      <c r="D144" s="30"/>
      <c r="E144" s="30"/>
      <c r="F144" s="31"/>
      <c r="G144" s="175"/>
      <c r="H144" s="175"/>
      <c r="I144" s="213">
        <f>D144+F144+G144+H144</f>
        <v>0</v>
      </c>
      <c r="J144" s="214"/>
      <c r="K144" s="215"/>
      <c r="L144" s="214"/>
      <c r="M144" s="215"/>
      <c r="N144" s="216"/>
      <c r="O144" s="165"/>
      <c r="P144" s="165"/>
    </row>
    <row r="145" spans="1:16" ht="19.5" customHeight="1">
      <c r="A145" s="1891"/>
      <c r="B145" s="1899"/>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1891"/>
      <c r="B146" s="1899"/>
      <c r="C146" s="110">
        <v>2016</v>
      </c>
      <c r="D146" s="37"/>
      <c r="E146" s="37"/>
      <c r="F146" s="38"/>
      <c r="G146" s="178"/>
      <c r="H146" s="178"/>
      <c r="I146" s="213">
        <f t="shared" si="13"/>
        <v>0</v>
      </c>
      <c r="J146" s="217"/>
      <c r="K146" s="218"/>
      <c r="L146" s="217"/>
      <c r="M146" s="218"/>
      <c r="N146" s="219"/>
      <c r="O146" s="165"/>
      <c r="P146" s="165"/>
    </row>
    <row r="147" spans="1:16" ht="17.25" customHeight="1">
      <c r="A147" s="1891"/>
      <c r="B147" s="1899"/>
      <c r="C147" s="110">
        <v>2017</v>
      </c>
      <c r="D147" s="37"/>
      <c r="E147" s="37"/>
      <c r="F147" s="38"/>
      <c r="G147" s="178"/>
      <c r="H147" s="178"/>
      <c r="I147" s="213">
        <f t="shared" si="13"/>
        <v>0</v>
      </c>
      <c r="J147" s="217"/>
      <c r="K147" s="218"/>
      <c r="L147" s="217"/>
      <c r="M147" s="218"/>
      <c r="N147" s="219"/>
      <c r="O147" s="165"/>
      <c r="P147" s="165"/>
    </row>
    <row r="148" spans="1:16" ht="19.5" customHeight="1">
      <c r="A148" s="1891"/>
      <c r="B148" s="1899"/>
      <c r="C148" s="110">
        <v>2018</v>
      </c>
      <c r="D148" s="37"/>
      <c r="E148" s="37"/>
      <c r="F148" s="38"/>
      <c r="G148" s="178"/>
      <c r="H148" s="178"/>
      <c r="I148" s="213">
        <f t="shared" si="13"/>
        <v>0</v>
      </c>
      <c r="J148" s="217"/>
      <c r="K148" s="218"/>
      <c r="L148" s="217"/>
      <c r="M148" s="218"/>
      <c r="N148" s="219"/>
      <c r="O148" s="165"/>
      <c r="P148" s="165"/>
    </row>
    <row r="149" spans="1:16" ht="19.5" customHeight="1">
      <c r="A149" s="1891"/>
      <c r="B149" s="1899"/>
      <c r="C149" s="110">
        <v>2019</v>
      </c>
      <c r="D149" s="37"/>
      <c r="E149" s="37"/>
      <c r="F149" s="38"/>
      <c r="G149" s="178"/>
      <c r="H149" s="178"/>
      <c r="I149" s="213">
        <f t="shared" si="13"/>
        <v>0</v>
      </c>
      <c r="J149" s="217"/>
      <c r="K149" s="218"/>
      <c r="L149" s="217"/>
      <c r="M149" s="218"/>
      <c r="N149" s="219"/>
      <c r="O149" s="165"/>
      <c r="P149" s="165"/>
    </row>
    <row r="150" spans="1:16" ht="18.75" customHeight="1">
      <c r="A150" s="1891"/>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1901" t="s">
        <v>105</v>
      </c>
      <c r="B153" s="1903" t="s">
        <v>179</v>
      </c>
      <c r="C153" s="1905" t="s">
        <v>9</v>
      </c>
      <c r="D153" s="225" t="s">
        <v>106</v>
      </c>
      <c r="E153" s="225"/>
      <c r="F153" s="226"/>
      <c r="G153" s="226"/>
      <c r="H153" s="225" t="s">
        <v>107</v>
      </c>
      <c r="I153" s="225"/>
      <c r="J153" s="227"/>
      <c r="K153" s="56"/>
      <c r="L153" s="56"/>
      <c r="M153" s="56"/>
      <c r="N153" s="56"/>
      <c r="O153" s="165"/>
      <c r="P153" s="165"/>
    </row>
    <row r="154" spans="1:16" ht="49.5" customHeight="1">
      <c r="A154" s="1902"/>
      <c r="B154" s="1904"/>
      <c r="C154" s="1906"/>
      <c r="D154" s="228" t="s">
        <v>211</v>
      </c>
      <c r="E154" s="229" t="s">
        <v>109</v>
      </c>
      <c r="F154" s="230" t="s">
        <v>110</v>
      </c>
      <c r="G154" s="231" t="s">
        <v>111</v>
      </c>
      <c r="H154" s="228" t="s">
        <v>112</v>
      </c>
      <c r="I154" s="229" t="s">
        <v>113</v>
      </c>
      <c r="J154" s="232" t="s">
        <v>103</v>
      </c>
      <c r="K154" s="56"/>
      <c r="L154" s="56"/>
      <c r="M154" s="56"/>
      <c r="N154" s="56"/>
      <c r="O154" s="165"/>
      <c r="P154" s="165"/>
    </row>
    <row r="155" spans="1:16" ht="18.75" customHeight="1">
      <c r="A155" s="1898"/>
      <c r="B155" s="1899"/>
      <c r="C155" s="233">
        <v>2014</v>
      </c>
      <c r="D155" s="214"/>
      <c r="E155" s="175"/>
      <c r="F155" s="215"/>
      <c r="G155" s="213">
        <f>SUM(D155:F155)</f>
        <v>0</v>
      </c>
      <c r="H155" s="214"/>
      <c r="I155" s="175"/>
      <c r="J155" s="176"/>
      <c r="O155" s="165"/>
      <c r="P155" s="165"/>
    </row>
    <row r="156" spans="1:16" ht="19.5" customHeight="1">
      <c r="A156" s="1891"/>
      <c r="B156" s="1899"/>
      <c r="C156" s="234">
        <v>2015</v>
      </c>
      <c r="D156" s="217"/>
      <c r="E156" s="178"/>
      <c r="F156" s="218"/>
      <c r="G156" s="213">
        <f t="shared" ref="G156:G161" si="15">SUM(D156:F156)</f>
        <v>0</v>
      </c>
      <c r="H156" s="217"/>
      <c r="I156" s="178"/>
      <c r="J156" s="179"/>
      <c r="O156" s="165"/>
      <c r="P156" s="165"/>
    </row>
    <row r="157" spans="1:16" ht="17.25" customHeight="1">
      <c r="A157" s="1891"/>
      <c r="B157" s="1899"/>
      <c r="C157" s="234">
        <v>2016</v>
      </c>
      <c r="D157" s="217"/>
      <c r="E157" s="178"/>
      <c r="F157" s="218"/>
      <c r="G157" s="213">
        <f t="shared" si="15"/>
        <v>0</v>
      </c>
      <c r="H157" s="217"/>
      <c r="I157" s="178"/>
      <c r="J157" s="179"/>
      <c r="O157" s="165"/>
      <c r="P157" s="165"/>
    </row>
    <row r="158" spans="1:16" ht="15" customHeight="1">
      <c r="A158" s="1891"/>
      <c r="B158" s="1899"/>
      <c r="C158" s="234">
        <v>2017</v>
      </c>
      <c r="D158" s="217"/>
      <c r="E158" s="178"/>
      <c r="F158" s="218"/>
      <c r="G158" s="213">
        <f t="shared" si="15"/>
        <v>0</v>
      </c>
      <c r="H158" s="217"/>
      <c r="I158" s="178"/>
      <c r="J158" s="179"/>
      <c r="O158" s="165"/>
      <c r="P158" s="165"/>
    </row>
    <row r="159" spans="1:16" ht="19.5" customHeight="1">
      <c r="A159" s="1891"/>
      <c r="B159" s="1899"/>
      <c r="C159" s="234">
        <v>2018</v>
      </c>
      <c r="D159" s="217"/>
      <c r="E159" s="178"/>
      <c r="F159" s="218"/>
      <c r="G159" s="213">
        <f t="shared" si="15"/>
        <v>0</v>
      </c>
      <c r="H159" s="217"/>
      <c r="I159" s="178"/>
      <c r="J159" s="179"/>
      <c r="O159" s="165"/>
      <c r="P159" s="165"/>
    </row>
    <row r="160" spans="1:16" ht="15" customHeight="1">
      <c r="A160" s="1891"/>
      <c r="B160" s="1899"/>
      <c r="C160" s="234">
        <v>2019</v>
      </c>
      <c r="D160" s="217"/>
      <c r="E160" s="178"/>
      <c r="F160" s="218"/>
      <c r="G160" s="213">
        <f t="shared" si="15"/>
        <v>0</v>
      </c>
      <c r="H160" s="217"/>
      <c r="I160" s="178"/>
      <c r="J160" s="179"/>
      <c r="O160" s="165"/>
      <c r="P160" s="165"/>
    </row>
    <row r="161" spans="1:18" ht="17.25" customHeight="1">
      <c r="A161" s="1891"/>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240"/>
      <c r="F163" s="165"/>
      <c r="G163" s="165"/>
      <c r="H163" s="165"/>
      <c r="I163" s="165"/>
      <c r="J163" s="241"/>
      <c r="K163" s="242"/>
    </row>
    <row r="164" spans="1:18" ht="95.25" customHeight="1">
      <c r="A164" s="243" t="s">
        <v>115</v>
      </c>
      <c r="B164" s="405" t="s">
        <v>181</v>
      </c>
      <c r="C164" s="245" t="s">
        <v>9</v>
      </c>
      <c r="D164" s="246" t="s">
        <v>117</v>
      </c>
      <c r="E164" s="246" t="s">
        <v>118</v>
      </c>
      <c r="F164" s="247" t="s">
        <v>119</v>
      </c>
      <c r="G164" s="246" t="s">
        <v>120</v>
      </c>
      <c r="H164" s="246" t="s">
        <v>121</v>
      </c>
      <c r="I164" s="248" t="s">
        <v>122</v>
      </c>
      <c r="J164" s="249" t="s">
        <v>123</v>
      </c>
      <c r="K164" s="249" t="s">
        <v>124</v>
      </c>
      <c r="L164" s="406"/>
    </row>
    <row r="165" spans="1:18" ht="15.75" customHeight="1">
      <c r="A165" s="1878"/>
      <c r="B165" s="1879"/>
      <c r="C165" s="251">
        <v>2014</v>
      </c>
      <c r="D165" s="175"/>
      <c r="E165" s="175"/>
      <c r="F165" s="175"/>
      <c r="G165" s="175"/>
      <c r="H165" s="175"/>
      <c r="I165" s="176"/>
      <c r="J165" s="252">
        <f>SUM(D165,F165,H165)</f>
        <v>0</v>
      </c>
      <c r="K165" s="253">
        <f>SUM(E165,G165,I165)</f>
        <v>0</v>
      </c>
      <c r="L165" s="406"/>
    </row>
    <row r="166" spans="1:18">
      <c r="A166" s="1880"/>
      <c r="B166" s="1881"/>
      <c r="C166" s="254">
        <v>2015</v>
      </c>
      <c r="D166" s="255"/>
      <c r="E166" s="255"/>
      <c r="F166" s="255"/>
      <c r="G166" s="255"/>
      <c r="H166" s="255"/>
      <c r="I166" s="256"/>
      <c r="J166" s="407">
        <f t="shared" ref="J166:K171" si="17">SUM(D166,F166,H166)</f>
        <v>0</v>
      </c>
      <c r="K166" s="408">
        <f t="shared" si="17"/>
        <v>0</v>
      </c>
      <c r="L166" s="406"/>
    </row>
    <row r="167" spans="1:18">
      <c r="A167" s="1880"/>
      <c r="B167" s="1881"/>
      <c r="C167" s="254">
        <v>2016</v>
      </c>
      <c r="D167" s="255"/>
      <c r="E167" s="255"/>
      <c r="F167" s="255"/>
      <c r="G167" s="255"/>
      <c r="H167" s="255"/>
      <c r="I167" s="256"/>
      <c r="J167" s="407">
        <f t="shared" si="17"/>
        <v>0</v>
      </c>
      <c r="K167" s="408">
        <f t="shared" si="17"/>
        <v>0</v>
      </c>
    </row>
    <row r="168" spans="1:18">
      <c r="A168" s="1880"/>
      <c r="B168" s="1881"/>
      <c r="C168" s="254">
        <v>2017</v>
      </c>
      <c r="D168" s="255"/>
      <c r="E168" s="165"/>
      <c r="F168" s="255"/>
      <c r="G168" s="255"/>
      <c r="H168" s="255"/>
      <c r="I168" s="256"/>
      <c r="J168" s="407">
        <f t="shared" si="17"/>
        <v>0</v>
      </c>
      <c r="K168" s="408">
        <f t="shared" si="17"/>
        <v>0</v>
      </c>
    </row>
    <row r="169" spans="1:18">
      <c r="A169" s="1880"/>
      <c r="B169" s="1881"/>
      <c r="C169" s="262">
        <v>2018</v>
      </c>
      <c r="D169" s="255"/>
      <c r="E169" s="255"/>
      <c r="F169" s="255"/>
      <c r="G169" s="263"/>
      <c r="H169" s="255"/>
      <c r="I169" s="256"/>
      <c r="J169" s="407">
        <f t="shared" si="17"/>
        <v>0</v>
      </c>
      <c r="K169" s="408">
        <f t="shared" si="17"/>
        <v>0</v>
      </c>
      <c r="L169" s="406"/>
    </row>
    <row r="170" spans="1:18">
      <c r="A170" s="1880"/>
      <c r="B170" s="1881"/>
      <c r="C170" s="254">
        <v>2019</v>
      </c>
      <c r="D170" s="165"/>
      <c r="E170" s="255"/>
      <c r="F170" s="255"/>
      <c r="G170" s="255"/>
      <c r="H170" s="263"/>
      <c r="I170" s="256"/>
      <c r="J170" s="407">
        <f t="shared" si="17"/>
        <v>0</v>
      </c>
      <c r="K170" s="408">
        <f t="shared" si="17"/>
        <v>0</v>
      </c>
      <c r="L170" s="406"/>
    </row>
    <row r="171" spans="1:18">
      <c r="A171" s="1880"/>
      <c r="B171" s="1881"/>
      <c r="C171" s="262">
        <v>2020</v>
      </c>
      <c r="D171" s="255"/>
      <c r="E171" s="255"/>
      <c r="F171" s="255"/>
      <c r="G171" s="255"/>
      <c r="H171" s="255"/>
      <c r="I171" s="256"/>
      <c r="J171" s="407">
        <f t="shared" si="17"/>
        <v>0</v>
      </c>
      <c r="K171" s="408">
        <f t="shared" si="17"/>
        <v>0</v>
      </c>
      <c r="L171" s="406"/>
    </row>
    <row r="172" spans="1:18" ht="41.25" customHeight="1" thickBot="1">
      <c r="A172" s="1882"/>
      <c r="B172" s="1883"/>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406"/>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1884" t="s">
        <v>127</v>
      </c>
      <c r="B176" s="1863" t="s">
        <v>182</v>
      </c>
      <c r="C176" s="1886" t="s">
        <v>9</v>
      </c>
      <c r="D176" s="273" t="s">
        <v>128</v>
      </c>
      <c r="E176" s="274"/>
      <c r="F176" s="274"/>
      <c r="G176" s="275"/>
      <c r="H176" s="276"/>
      <c r="I176" s="1888" t="s">
        <v>129</v>
      </c>
      <c r="J176" s="1889"/>
      <c r="K176" s="1889"/>
      <c r="L176" s="1889"/>
      <c r="M176" s="1889"/>
      <c r="N176" s="1889"/>
      <c r="O176" s="1890"/>
    </row>
    <row r="177" spans="1:15" s="56" customFormat="1" ht="129.7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2024" t="s">
        <v>212</v>
      </c>
      <c r="B178" s="2025"/>
      <c r="C178" s="106">
        <v>2014</v>
      </c>
      <c r="D178" s="30"/>
      <c r="E178" s="31"/>
      <c r="F178" s="31"/>
      <c r="G178" s="284">
        <f>SUM(D178:F178)</f>
        <v>0</v>
      </c>
      <c r="H178" s="155"/>
      <c r="I178" s="155"/>
      <c r="J178" s="31"/>
      <c r="K178" s="31"/>
      <c r="L178" s="31"/>
      <c r="M178" s="31"/>
      <c r="N178" s="31"/>
      <c r="O178" s="34"/>
    </row>
    <row r="179" spans="1:15">
      <c r="A179" s="2024"/>
      <c r="B179" s="2025"/>
      <c r="C179" s="110">
        <v>2015</v>
      </c>
      <c r="D179" s="37"/>
      <c r="E179" s="38"/>
      <c r="F179" s="38"/>
      <c r="G179" s="284">
        <f t="shared" ref="G179:G184" si="19">SUM(D179:F179)</f>
        <v>0</v>
      </c>
      <c r="H179" s="411"/>
      <c r="I179" s="112"/>
      <c r="J179" s="38"/>
      <c r="K179" s="38"/>
      <c r="L179" s="38"/>
      <c r="M179" s="38"/>
      <c r="N179" s="38"/>
      <c r="O179" s="88"/>
    </row>
    <row r="180" spans="1:15">
      <c r="A180" s="2024"/>
      <c r="B180" s="2025"/>
      <c r="C180" s="110">
        <v>2016</v>
      </c>
      <c r="D180" s="37">
        <v>10</v>
      </c>
      <c r="E180" s="38">
        <v>1</v>
      </c>
      <c r="F180" s="38">
        <v>0</v>
      </c>
      <c r="G180" s="284">
        <f t="shared" si="19"/>
        <v>11</v>
      </c>
      <c r="H180" s="411">
        <v>23</v>
      </c>
      <c r="I180" s="112"/>
      <c r="J180" s="38"/>
      <c r="K180" s="38">
        <v>2</v>
      </c>
      <c r="L180" s="38">
        <v>6</v>
      </c>
      <c r="M180" s="38"/>
      <c r="N180" s="38"/>
      <c r="O180" s="88">
        <v>3</v>
      </c>
    </row>
    <row r="181" spans="1:15">
      <c r="A181" s="2024"/>
      <c r="B181" s="2025"/>
      <c r="C181" s="110">
        <v>2017</v>
      </c>
      <c r="D181" s="37">
        <v>31</v>
      </c>
      <c r="E181" s="38">
        <v>2</v>
      </c>
      <c r="F181" s="38"/>
      <c r="G181" s="284">
        <f t="shared" si="19"/>
        <v>33</v>
      </c>
      <c r="H181" s="411"/>
      <c r="I181" s="112">
        <v>6</v>
      </c>
      <c r="J181" s="38"/>
      <c r="K181" s="38"/>
      <c r="L181" s="38">
        <v>13</v>
      </c>
      <c r="M181" s="38"/>
      <c r="N181" s="38"/>
      <c r="O181" s="88">
        <v>14</v>
      </c>
    </row>
    <row r="182" spans="1:15">
      <c r="A182" s="2024"/>
      <c r="B182" s="2025"/>
      <c r="C182" s="110">
        <v>2018</v>
      </c>
      <c r="D182" s="37"/>
      <c r="E182" s="38"/>
      <c r="F182" s="38"/>
      <c r="G182" s="284">
        <f t="shared" si="19"/>
        <v>0</v>
      </c>
      <c r="H182" s="411"/>
      <c r="I182" s="112"/>
      <c r="J182" s="38"/>
      <c r="K182" s="38"/>
      <c r="L182" s="38"/>
      <c r="M182" s="38"/>
      <c r="N182" s="38"/>
      <c r="O182" s="88"/>
    </row>
    <row r="183" spans="1:15">
      <c r="A183" s="2024"/>
      <c r="B183" s="2025"/>
      <c r="C183" s="110">
        <v>2019</v>
      </c>
      <c r="D183" s="37"/>
      <c r="E183" s="38"/>
      <c r="F183" s="38"/>
      <c r="G183" s="284">
        <f t="shared" si="19"/>
        <v>0</v>
      </c>
      <c r="H183" s="411"/>
      <c r="I183" s="112"/>
      <c r="J183" s="38"/>
      <c r="K183" s="38"/>
      <c r="L183" s="38"/>
      <c r="M183" s="38"/>
      <c r="N183" s="38"/>
      <c r="O183" s="88"/>
    </row>
    <row r="184" spans="1:15">
      <c r="A184" s="2024"/>
      <c r="B184" s="2025"/>
      <c r="C184" s="110">
        <v>2020</v>
      </c>
      <c r="D184" s="37"/>
      <c r="E184" s="38"/>
      <c r="F184" s="38"/>
      <c r="G184" s="284">
        <f t="shared" si="19"/>
        <v>0</v>
      </c>
      <c r="H184" s="411"/>
      <c r="I184" s="112"/>
      <c r="J184" s="38"/>
      <c r="K184" s="38"/>
      <c r="L184" s="38"/>
      <c r="M184" s="38"/>
      <c r="N184" s="38"/>
      <c r="O184" s="88"/>
    </row>
    <row r="185" spans="1:15" ht="45" customHeight="1" thickBot="1">
      <c r="A185" s="2026"/>
      <c r="B185" s="2027"/>
      <c r="C185" s="113" t="s">
        <v>13</v>
      </c>
      <c r="D185" s="139">
        <f>SUM(D178:D184)</f>
        <v>41</v>
      </c>
      <c r="E185" s="116">
        <f>SUM(E178:E184)</f>
        <v>3</v>
      </c>
      <c r="F185" s="116">
        <f>SUM(F178:F184)</f>
        <v>0</v>
      </c>
      <c r="G185" s="220">
        <f t="shared" ref="G185:O185" si="20">SUM(G178:G184)</f>
        <v>44</v>
      </c>
      <c r="H185" s="285">
        <f t="shared" si="20"/>
        <v>23</v>
      </c>
      <c r="I185" s="115">
        <f t="shared" si="20"/>
        <v>6</v>
      </c>
      <c r="J185" s="116">
        <f t="shared" si="20"/>
        <v>0</v>
      </c>
      <c r="K185" s="116">
        <f t="shared" si="20"/>
        <v>2</v>
      </c>
      <c r="L185" s="116">
        <f t="shared" si="20"/>
        <v>19</v>
      </c>
      <c r="M185" s="116">
        <f t="shared" si="20"/>
        <v>0</v>
      </c>
      <c r="N185" s="116">
        <f t="shared" si="20"/>
        <v>0</v>
      </c>
      <c r="O185" s="117">
        <f t="shared" si="20"/>
        <v>17</v>
      </c>
    </row>
    <row r="186" spans="1:15" ht="33" customHeight="1" thickBot="1"/>
    <row r="187" spans="1:15" ht="19.5" customHeight="1">
      <c r="A187" s="1861" t="s">
        <v>137</v>
      </c>
      <c r="B187" s="1863" t="s">
        <v>182</v>
      </c>
      <c r="C187" s="1865" t="s">
        <v>9</v>
      </c>
      <c r="D187" s="1867" t="s">
        <v>138</v>
      </c>
      <c r="E187" s="1868"/>
      <c r="F187" s="1868"/>
      <c r="G187" s="1869"/>
      <c r="H187" s="1870"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2018" t="s">
        <v>213</v>
      </c>
      <c r="B189" s="2019"/>
      <c r="C189" s="290">
        <v>2014</v>
      </c>
      <c r="D189" s="133"/>
      <c r="E189" s="109"/>
      <c r="F189" s="109"/>
      <c r="G189" s="291">
        <f>SUM(D189:F189)</f>
        <v>0</v>
      </c>
      <c r="H189" s="108"/>
      <c r="I189" s="109"/>
      <c r="J189" s="109"/>
      <c r="K189" s="109"/>
      <c r="L189" s="134"/>
    </row>
    <row r="190" spans="1:15">
      <c r="A190" s="2020"/>
      <c r="B190" s="2021"/>
      <c r="C190" s="73">
        <v>2015</v>
      </c>
      <c r="D190" s="37"/>
      <c r="E190" s="38"/>
      <c r="F190" s="38"/>
      <c r="G190" s="291">
        <f t="shared" ref="G190:G195" si="21">SUM(D190:F190)</f>
        <v>0</v>
      </c>
      <c r="H190" s="112"/>
      <c r="I190" s="38"/>
      <c r="J190" s="38"/>
      <c r="K190" s="38"/>
      <c r="L190" s="88"/>
    </row>
    <row r="191" spans="1:15">
      <c r="A191" s="2020"/>
      <c r="B191" s="2021"/>
      <c r="C191" s="73">
        <v>2016</v>
      </c>
      <c r="D191" s="395">
        <v>1208</v>
      </c>
      <c r="E191" s="339">
        <v>52</v>
      </c>
      <c r="F191" s="339"/>
      <c r="G191" s="291">
        <f t="shared" si="21"/>
        <v>1260</v>
      </c>
      <c r="H191" s="457"/>
      <c r="I191" s="339">
        <v>92</v>
      </c>
      <c r="J191" s="339"/>
      <c r="K191" s="339"/>
      <c r="L191" s="340">
        <v>1168</v>
      </c>
    </row>
    <row r="192" spans="1:15">
      <c r="A192" s="2020"/>
      <c r="B192" s="2021"/>
      <c r="C192" s="73">
        <v>2017</v>
      </c>
      <c r="D192" s="37">
        <v>1356</v>
      </c>
      <c r="E192" s="38">
        <v>95</v>
      </c>
      <c r="F192" s="38"/>
      <c r="G192" s="291">
        <f t="shared" si="21"/>
        <v>1451</v>
      </c>
      <c r="H192" s="112"/>
      <c r="I192" s="38">
        <v>98</v>
      </c>
      <c r="J192" s="38"/>
      <c r="K192" s="38"/>
      <c r="L192" s="88">
        <v>1353</v>
      </c>
    </row>
    <row r="193" spans="1:14">
      <c r="A193" s="2020"/>
      <c r="B193" s="2021"/>
      <c r="C193" s="73">
        <v>2018</v>
      </c>
      <c r="D193" s="37"/>
      <c r="E193" s="38"/>
      <c r="F193" s="38"/>
      <c r="G193" s="291">
        <f t="shared" si="21"/>
        <v>0</v>
      </c>
      <c r="H193" s="112"/>
      <c r="I193" s="38"/>
      <c r="J193" s="38"/>
      <c r="K193" s="38"/>
      <c r="L193" s="88"/>
    </row>
    <row r="194" spans="1:14">
      <c r="A194" s="2020"/>
      <c r="B194" s="2021"/>
      <c r="C194" s="73">
        <v>2019</v>
      </c>
      <c r="D194" s="37"/>
      <c r="E194" s="38"/>
      <c r="F194" s="38"/>
      <c r="G194" s="291">
        <f t="shared" si="21"/>
        <v>0</v>
      </c>
      <c r="H194" s="112"/>
      <c r="I194" s="38"/>
      <c r="J194" s="38"/>
      <c r="K194" s="38"/>
      <c r="L194" s="88"/>
    </row>
    <row r="195" spans="1:14">
      <c r="A195" s="2020"/>
      <c r="B195" s="2021"/>
      <c r="C195" s="73">
        <v>2020</v>
      </c>
      <c r="D195" s="37"/>
      <c r="E195" s="38"/>
      <c r="F195" s="38"/>
      <c r="G195" s="291">
        <f t="shared" si="21"/>
        <v>0</v>
      </c>
      <c r="H195" s="112"/>
      <c r="I195" s="38"/>
      <c r="J195" s="38"/>
      <c r="K195" s="38"/>
      <c r="L195" s="88"/>
    </row>
    <row r="196" spans="1:14" ht="15.75" thickBot="1">
      <c r="A196" s="2022"/>
      <c r="B196" s="2023"/>
      <c r="C196" s="136" t="s">
        <v>13</v>
      </c>
      <c r="D196" s="139">
        <f t="shared" ref="D196:L196" si="22">SUM(D189:D195)</f>
        <v>2564</v>
      </c>
      <c r="E196" s="116">
        <f t="shared" si="22"/>
        <v>147</v>
      </c>
      <c r="F196" s="116">
        <f t="shared" si="22"/>
        <v>0</v>
      </c>
      <c r="G196" s="292">
        <f t="shared" si="22"/>
        <v>2711</v>
      </c>
      <c r="H196" s="115">
        <f t="shared" si="22"/>
        <v>0</v>
      </c>
      <c r="I196" s="116">
        <f t="shared" si="22"/>
        <v>190</v>
      </c>
      <c r="J196" s="116">
        <f t="shared" si="22"/>
        <v>0</v>
      </c>
      <c r="K196" s="116">
        <f t="shared" si="22"/>
        <v>0</v>
      </c>
      <c r="L196" s="117">
        <f t="shared" si="22"/>
        <v>2521</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296" t="s">
        <v>150</v>
      </c>
      <c r="B201" s="417" t="s">
        <v>182</v>
      </c>
      <c r="C201" s="298" t="s">
        <v>9</v>
      </c>
      <c r="D201" s="299" t="s">
        <v>151</v>
      </c>
      <c r="E201" s="300" t="s">
        <v>152</v>
      </c>
      <c r="F201" s="300" t="s">
        <v>153</v>
      </c>
      <c r="G201" s="298" t="s">
        <v>154</v>
      </c>
      <c r="H201" s="301" t="s">
        <v>155</v>
      </c>
      <c r="I201" s="302" t="s">
        <v>156</v>
      </c>
      <c r="J201" s="303" t="s">
        <v>157</v>
      </c>
      <c r="K201" s="300" t="s">
        <v>158</v>
      </c>
      <c r="L201" s="304" t="s">
        <v>159</v>
      </c>
    </row>
    <row r="202" spans="1:14" ht="15" customHeight="1">
      <c r="A202" s="1854"/>
      <c r="B202" s="1855"/>
      <c r="C202" s="72">
        <v>2014</v>
      </c>
      <c r="D202" s="30"/>
      <c r="E202" s="31"/>
      <c r="F202" s="31"/>
      <c r="G202" s="29"/>
      <c r="H202" s="305"/>
      <c r="I202" s="306"/>
      <c r="J202" s="307"/>
      <c r="K202" s="31"/>
      <c r="L202" s="34"/>
    </row>
    <row r="203" spans="1:14">
      <c r="A203" s="1854"/>
      <c r="B203" s="1855"/>
      <c r="C203" s="73">
        <v>2015</v>
      </c>
      <c r="D203" s="37"/>
      <c r="E203" s="38"/>
      <c r="F203" s="38"/>
      <c r="G203" s="36"/>
      <c r="H203" s="308"/>
      <c r="I203" s="309"/>
      <c r="J203" s="310"/>
      <c r="K203" s="38"/>
      <c r="L203" s="88"/>
    </row>
    <row r="204" spans="1:14">
      <c r="A204" s="1854"/>
      <c r="B204" s="1855"/>
      <c r="C204" s="73">
        <v>2016</v>
      </c>
      <c r="D204" s="37"/>
      <c r="E204" s="38"/>
      <c r="F204" s="38"/>
      <c r="G204" s="36"/>
      <c r="H204" s="308"/>
      <c r="I204" s="309"/>
      <c r="J204" s="310"/>
      <c r="K204" s="38"/>
      <c r="L204" s="88"/>
    </row>
    <row r="205" spans="1:14">
      <c r="A205" s="1854"/>
      <c r="B205" s="1855"/>
      <c r="C205" s="73">
        <v>2017</v>
      </c>
      <c r="D205" s="37"/>
      <c r="E205" s="38"/>
      <c r="F205" s="38"/>
      <c r="G205" s="36"/>
      <c r="H205" s="308"/>
      <c r="I205" s="309"/>
      <c r="J205" s="310"/>
      <c r="K205" s="38"/>
      <c r="L205" s="88"/>
    </row>
    <row r="206" spans="1:14">
      <c r="A206" s="1854"/>
      <c r="B206" s="1855"/>
      <c r="C206" s="73">
        <v>2018</v>
      </c>
      <c r="D206" s="37"/>
      <c r="E206" s="38"/>
      <c r="F206" s="38"/>
      <c r="G206" s="36"/>
      <c r="H206" s="308"/>
      <c r="I206" s="309"/>
      <c r="J206" s="310"/>
      <c r="K206" s="38"/>
      <c r="L206" s="88"/>
    </row>
    <row r="207" spans="1:14">
      <c r="A207" s="1854"/>
      <c r="B207" s="1855"/>
      <c r="C207" s="73">
        <v>2019</v>
      </c>
      <c r="D207" s="37"/>
      <c r="E207" s="38"/>
      <c r="F207" s="38"/>
      <c r="G207" s="36"/>
      <c r="H207" s="308"/>
      <c r="I207" s="309"/>
      <c r="J207" s="310"/>
      <c r="K207" s="38"/>
      <c r="L207" s="88"/>
    </row>
    <row r="208" spans="1:14">
      <c r="A208" s="1854"/>
      <c r="B208" s="1855"/>
      <c r="C208" s="73">
        <v>2020</v>
      </c>
      <c r="D208" s="311"/>
      <c r="E208" s="312"/>
      <c r="F208" s="312"/>
      <c r="G208" s="313"/>
      <c r="H208" s="314"/>
      <c r="I208" s="315"/>
      <c r="J208" s="316"/>
      <c r="K208" s="312"/>
      <c r="L208" s="317"/>
    </row>
    <row r="209" spans="1:12" ht="20.25" customHeight="1" thickBot="1">
      <c r="A209" s="1856"/>
      <c r="B209" s="1857"/>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0</v>
      </c>
      <c r="K209" s="139">
        <f t="shared" si="23"/>
        <v>0</v>
      </c>
      <c r="L209" s="139">
        <f t="shared" si="23"/>
        <v>0</v>
      </c>
    </row>
    <row r="211" spans="1:12" ht="15.75" thickBot="1"/>
    <row r="212" spans="1:12" ht="29.25">
      <c r="A212" s="321" t="s">
        <v>161</v>
      </c>
      <c r="B212" s="322" t="s">
        <v>162</v>
      </c>
      <c r="C212" s="323">
        <v>2014</v>
      </c>
      <c r="D212" s="324">
        <v>2015</v>
      </c>
      <c r="E212" s="324">
        <v>2016</v>
      </c>
      <c r="F212" s="324">
        <v>2017</v>
      </c>
      <c r="G212" s="324">
        <v>2018</v>
      </c>
      <c r="H212" s="324">
        <v>2019</v>
      </c>
      <c r="I212" s="325">
        <v>2020</v>
      </c>
    </row>
    <row r="213" spans="1:12" ht="15" customHeight="1">
      <c r="A213" t="s">
        <v>163</v>
      </c>
      <c r="B213" s="1973" t="s">
        <v>214</v>
      </c>
      <c r="C213" s="72"/>
      <c r="D213" s="461">
        <f>SUM(D214:D216)</f>
        <v>14164.35</v>
      </c>
      <c r="E213" s="462">
        <f>SUM(E214:E217)</f>
        <v>750236.10000000009</v>
      </c>
      <c r="F213" s="462">
        <f>SUM(F214:F217)</f>
        <v>727765.89999999991</v>
      </c>
      <c r="G213" s="135"/>
      <c r="H213" s="135"/>
      <c r="I213" s="326"/>
    </row>
    <row r="214" spans="1:12">
      <c r="A214" t="s">
        <v>164</v>
      </c>
      <c r="B214" s="1974"/>
      <c r="C214" s="72"/>
      <c r="D214" s="135">
        <v>1998.85</v>
      </c>
      <c r="E214" s="463">
        <v>256263.27</v>
      </c>
      <c r="F214" s="463">
        <v>264638.05</v>
      </c>
      <c r="G214" s="135"/>
      <c r="H214" s="135"/>
      <c r="I214" s="326"/>
    </row>
    <row r="215" spans="1:12">
      <c r="A215" t="s">
        <v>165</v>
      </c>
      <c r="B215" s="1974"/>
      <c r="C215" s="72"/>
      <c r="D215" s="135"/>
      <c r="E215" s="463"/>
      <c r="F215" s="463"/>
      <c r="G215" s="135"/>
      <c r="H215" s="135"/>
      <c r="I215" s="326"/>
    </row>
    <row r="216" spans="1:12">
      <c r="A216" t="s">
        <v>166</v>
      </c>
      <c r="B216" s="1974"/>
      <c r="C216" s="72"/>
      <c r="D216" s="135">
        <v>12165.5</v>
      </c>
      <c r="E216" s="463">
        <v>210919.63</v>
      </c>
      <c r="F216" s="463">
        <v>178271.43</v>
      </c>
      <c r="G216" s="135"/>
      <c r="H216" s="135"/>
      <c r="I216" s="326"/>
    </row>
    <row r="217" spans="1:12">
      <c r="A217" t="s">
        <v>167</v>
      </c>
      <c r="B217" s="1974"/>
      <c r="C217" s="72"/>
      <c r="D217" s="135"/>
      <c r="E217" s="463">
        <v>283053.2</v>
      </c>
      <c r="F217" s="463">
        <v>284856.42</v>
      </c>
      <c r="G217" s="135"/>
      <c r="H217" s="135"/>
      <c r="I217" s="326"/>
    </row>
    <row r="218" spans="1:12" ht="30">
      <c r="A218" s="56" t="s">
        <v>168</v>
      </c>
      <c r="B218" s="1974"/>
      <c r="C218" s="72"/>
      <c r="D218" s="458">
        <v>139540.98000000001</v>
      </c>
      <c r="E218" s="463">
        <v>305032.98</v>
      </c>
      <c r="F218" s="463">
        <v>385452.74</v>
      </c>
      <c r="G218" s="135"/>
      <c r="H218" s="135"/>
      <c r="I218" s="326"/>
    </row>
    <row r="219" spans="1:12" ht="78.75" customHeight="1" thickBot="1">
      <c r="A219" s="331"/>
      <c r="B219" s="1975"/>
      <c r="C219" s="42" t="s">
        <v>13</v>
      </c>
      <c r="D219" s="333">
        <f>SUM(D214:D218)</f>
        <v>153705.33000000002</v>
      </c>
      <c r="E219" s="464">
        <f t="shared" ref="E219:I219" si="24">SUM(E214:E218)</f>
        <v>1055269.08</v>
      </c>
      <c r="F219" s="464">
        <f>SUM(F213+F218)</f>
        <v>1113218.6399999999</v>
      </c>
      <c r="G219" s="333">
        <f t="shared" si="24"/>
        <v>0</v>
      </c>
      <c r="H219" s="333">
        <f t="shared" si="24"/>
        <v>0</v>
      </c>
      <c r="I219" s="333">
        <f t="shared" si="24"/>
        <v>0</v>
      </c>
    </row>
    <row r="224" spans="1:12">
      <c r="D224" s="458"/>
    </row>
    <row r="225" spans="1:8">
      <c r="D225" s="160"/>
      <c r="G225" s="465"/>
      <c r="H225" s="465"/>
    </row>
    <row r="226" spans="1:8">
      <c r="D226" s="160"/>
    </row>
    <row r="227" spans="1:8">
      <c r="A227" s="56"/>
    </row>
    <row r="228" spans="1:8">
      <c r="F228" s="466"/>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7"/>
  <sheetViews>
    <sheetView topLeftCell="B10" zoomScale="80" zoomScaleNormal="80" workbookViewId="0">
      <selection activeCell="F228" sqref="F228"/>
    </sheetView>
  </sheetViews>
  <sheetFormatPr defaultColWidth="8.85546875" defaultRowHeight="15"/>
  <cols>
    <col min="1" max="1" width="91" customWidth="1"/>
    <col min="2" max="2" width="47.710937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241</v>
      </c>
      <c r="C1" s="1944"/>
      <c r="D1" s="1944"/>
      <c r="E1" s="1944"/>
      <c r="F1" s="1944"/>
    </row>
    <row r="2" spans="1:25" s="1" customFormat="1" ht="20.100000000000001" customHeight="1" thickBot="1"/>
    <row r="3" spans="1:25" s="4" customFormat="1" ht="20.100000000000001" customHeight="1">
      <c r="A3" s="488" t="s">
        <v>2</v>
      </c>
      <c r="B3" s="489"/>
      <c r="C3" s="489"/>
      <c r="D3" s="489"/>
      <c r="E3" s="489"/>
      <c r="F3" s="2010"/>
      <c r="G3" s="2010"/>
      <c r="H3" s="2010"/>
      <c r="I3" s="2010"/>
      <c r="J3" s="2010"/>
      <c r="K3" s="2010"/>
      <c r="L3" s="2010"/>
      <c r="M3" s="2010"/>
      <c r="N3" s="2010"/>
      <c r="O3" s="2011"/>
    </row>
    <row r="4" spans="1:25" s="4" customFormat="1" ht="20.100000000000001" customHeight="1">
      <c r="A4" s="1947" t="s">
        <v>170</v>
      </c>
      <c r="B4" s="1948"/>
      <c r="C4" s="1948"/>
      <c r="D4" s="1948"/>
      <c r="E4" s="1948"/>
      <c r="F4" s="1948"/>
      <c r="G4" s="1948"/>
      <c r="H4" s="1948"/>
      <c r="I4" s="1948"/>
      <c r="J4" s="1948"/>
      <c r="K4" s="1948"/>
      <c r="L4" s="1948"/>
      <c r="M4" s="1948"/>
      <c r="N4" s="1948"/>
      <c r="O4" s="1949"/>
    </row>
    <row r="5" spans="1:25" s="4" customFormat="1" ht="20.100000000000001" customHeight="1">
      <c r="A5" s="1947"/>
      <c r="B5" s="1948"/>
      <c r="C5" s="1948"/>
      <c r="D5" s="1948"/>
      <c r="E5" s="1948"/>
      <c r="F5" s="1948"/>
      <c r="G5" s="1948"/>
      <c r="H5" s="1948"/>
      <c r="I5" s="1948"/>
      <c r="J5" s="1948"/>
      <c r="K5" s="1948"/>
      <c r="L5" s="1948"/>
      <c r="M5" s="1948"/>
      <c r="N5" s="1948"/>
      <c r="O5" s="1949"/>
    </row>
    <row r="6" spans="1:25" s="4" customFormat="1" ht="20.100000000000001" customHeight="1">
      <c r="A6" s="1947"/>
      <c r="B6" s="1948"/>
      <c r="C6" s="1948"/>
      <c r="D6" s="1948"/>
      <c r="E6" s="1948"/>
      <c r="F6" s="1948"/>
      <c r="G6" s="1948"/>
      <c r="H6" s="1948"/>
      <c r="I6" s="1948"/>
      <c r="J6" s="1948"/>
      <c r="K6" s="1948"/>
      <c r="L6" s="1948"/>
      <c r="M6" s="1948"/>
      <c r="N6" s="1948"/>
      <c r="O6" s="1949"/>
    </row>
    <row r="7" spans="1:25" s="4" customFormat="1" ht="20.100000000000001" customHeight="1">
      <c r="A7" s="1947"/>
      <c r="B7" s="1948"/>
      <c r="C7" s="1948"/>
      <c r="D7" s="1948"/>
      <c r="E7" s="1948"/>
      <c r="F7" s="1948"/>
      <c r="G7" s="1948"/>
      <c r="H7" s="1948"/>
      <c r="I7" s="1948"/>
      <c r="J7" s="1948"/>
      <c r="K7" s="1948"/>
      <c r="L7" s="1948"/>
      <c r="M7" s="1948"/>
      <c r="N7" s="1948"/>
      <c r="O7" s="1949"/>
    </row>
    <row r="8" spans="1:25" s="4" customFormat="1" ht="20.100000000000001" customHeight="1">
      <c r="A8" s="1947"/>
      <c r="B8" s="1948"/>
      <c r="C8" s="1948"/>
      <c r="D8" s="1948"/>
      <c r="E8" s="1948"/>
      <c r="F8" s="1948"/>
      <c r="G8" s="1948"/>
      <c r="H8" s="1948"/>
      <c r="I8" s="1948"/>
      <c r="J8" s="1948"/>
      <c r="K8" s="1948"/>
      <c r="L8" s="1948"/>
      <c r="M8" s="1948"/>
      <c r="N8" s="1948"/>
      <c r="O8" s="1949"/>
    </row>
    <row r="9" spans="1:25" s="4" customFormat="1" ht="20.100000000000001" customHeight="1">
      <c r="A9" s="1947"/>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515"/>
      <c r="B15" s="516"/>
      <c r="C15" s="10"/>
      <c r="D15" s="1953" t="s">
        <v>5</v>
      </c>
      <c r="E15" s="2012"/>
      <c r="F15" s="2012"/>
      <c r="G15" s="2012"/>
      <c r="H15" s="11"/>
      <c r="I15" s="12" t="s">
        <v>6</v>
      </c>
      <c r="J15" s="13"/>
      <c r="K15" s="13"/>
      <c r="L15" s="13"/>
      <c r="M15" s="13"/>
      <c r="N15" s="13"/>
      <c r="O15" s="14"/>
      <c r="P15" s="15"/>
      <c r="Q15" s="16"/>
      <c r="R15" s="17"/>
      <c r="S15" s="17"/>
      <c r="T15" s="17"/>
      <c r="U15" s="17"/>
      <c r="V15" s="17"/>
      <c r="W15" s="15"/>
      <c r="X15" s="15"/>
      <c r="Y15" s="16"/>
    </row>
    <row r="16" spans="1:25" s="56" customFormat="1" ht="129" customHeight="1">
      <c r="A16" s="1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2067" t="s">
        <v>242</v>
      </c>
      <c r="B17" s="2068"/>
      <c r="C17" s="29">
        <v>2014</v>
      </c>
      <c r="D17" s="517"/>
      <c r="E17" s="518"/>
      <c r="F17" s="518"/>
      <c r="G17" s="519">
        <f t="shared" ref="G17:G23" si="0">SUM(D17:F17)</f>
        <v>0</v>
      </c>
      <c r="H17" s="520"/>
      <c r="I17" s="518"/>
      <c r="J17" s="518"/>
      <c r="K17" s="518"/>
      <c r="L17" s="518"/>
      <c r="M17" s="518"/>
      <c r="N17" s="518"/>
      <c r="O17" s="521"/>
      <c r="P17" s="35"/>
      <c r="Q17" s="35"/>
      <c r="R17" s="35"/>
      <c r="S17" s="35"/>
      <c r="T17" s="35"/>
      <c r="U17" s="35"/>
      <c r="V17" s="35"/>
      <c r="W17" s="35"/>
      <c r="X17" s="35"/>
      <c r="Y17" s="35"/>
    </row>
    <row r="18" spans="1:25">
      <c r="A18" s="2067"/>
      <c r="B18" s="2068"/>
      <c r="C18" s="36">
        <v>2015</v>
      </c>
      <c r="D18" s="522">
        <v>10</v>
      </c>
      <c r="E18" s="523">
        <v>2</v>
      </c>
      <c r="F18" s="523">
        <v>0</v>
      </c>
      <c r="G18" s="519">
        <f t="shared" si="0"/>
        <v>12</v>
      </c>
      <c r="H18" s="524">
        <v>0</v>
      </c>
      <c r="I18" s="92">
        <v>0</v>
      </c>
      <c r="J18" s="92">
        <v>0</v>
      </c>
      <c r="K18" s="92">
        <v>8</v>
      </c>
      <c r="L18" s="92">
        <v>2</v>
      </c>
      <c r="M18" s="92">
        <v>0</v>
      </c>
      <c r="N18" s="92">
        <v>0</v>
      </c>
      <c r="O18" s="525">
        <v>2</v>
      </c>
      <c r="P18" s="35"/>
      <c r="Q18" s="35"/>
      <c r="R18" s="35"/>
      <c r="S18" s="35"/>
      <c r="T18" s="35"/>
      <c r="U18" s="35"/>
      <c r="V18" s="35"/>
      <c r="W18" s="35"/>
      <c r="X18" s="35"/>
      <c r="Y18" s="35"/>
    </row>
    <row r="19" spans="1:25">
      <c r="A19" s="2067"/>
      <c r="B19" s="2068"/>
      <c r="C19" s="36">
        <v>2016</v>
      </c>
      <c r="D19" s="526">
        <v>58</v>
      </c>
      <c r="E19" s="527">
        <v>3</v>
      </c>
      <c r="F19" s="527">
        <v>1</v>
      </c>
      <c r="G19" s="519">
        <f t="shared" si="0"/>
        <v>62</v>
      </c>
      <c r="H19" s="433">
        <v>0</v>
      </c>
      <c r="I19" s="89">
        <v>34</v>
      </c>
      <c r="J19" s="89">
        <v>0</v>
      </c>
      <c r="K19" s="89">
        <v>0</v>
      </c>
      <c r="L19" s="89">
        <v>9</v>
      </c>
      <c r="M19" s="89">
        <v>0</v>
      </c>
      <c r="N19" s="89">
        <v>0</v>
      </c>
      <c r="O19" s="528">
        <v>19</v>
      </c>
      <c r="P19" s="35"/>
      <c r="Q19" s="35"/>
      <c r="R19" s="35"/>
      <c r="S19" s="35"/>
      <c r="T19" s="35"/>
      <c r="U19" s="35"/>
      <c r="V19" s="35"/>
      <c r="W19" s="35"/>
      <c r="X19" s="35"/>
      <c r="Y19" s="35"/>
    </row>
    <row r="20" spans="1:25">
      <c r="A20" s="2067"/>
      <c r="B20" s="2068"/>
      <c r="C20" s="36">
        <v>2017</v>
      </c>
      <c r="D20" s="526">
        <v>8</v>
      </c>
      <c r="E20" s="527">
        <v>0</v>
      </c>
      <c r="F20" s="527">
        <v>1</v>
      </c>
      <c r="G20" s="519">
        <f t="shared" si="0"/>
        <v>9</v>
      </c>
      <c r="H20" s="433">
        <v>0</v>
      </c>
      <c r="I20" s="89">
        <f>1+3+1</f>
        <v>5</v>
      </c>
      <c r="J20" s="89">
        <v>0</v>
      </c>
      <c r="K20" s="89">
        <v>4</v>
      </c>
      <c r="L20" s="89">
        <v>0</v>
      </c>
      <c r="M20" s="89">
        <v>0</v>
      </c>
      <c r="N20" s="89">
        <v>0</v>
      </c>
      <c r="O20" s="528">
        <v>0</v>
      </c>
      <c r="P20" s="35"/>
      <c r="Q20" s="35"/>
      <c r="R20" s="35"/>
      <c r="S20" s="35"/>
      <c r="T20" s="35"/>
      <c r="U20" s="35"/>
      <c r="V20" s="35"/>
      <c r="W20" s="35"/>
      <c r="X20" s="35"/>
      <c r="Y20" s="35"/>
    </row>
    <row r="21" spans="1:25">
      <c r="A21" s="2067"/>
      <c r="B21" s="2068"/>
      <c r="C21" s="36">
        <v>2018</v>
      </c>
      <c r="D21" s="526"/>
      <c r="E21" s="527"/>
      <c r="F21" s="527"/>
      <c r="G21" s="519">
        <f t="shared" si="0"/>
        <v>0</v>
      </c>
      <c r="H21" s="433"/>
      <c r="I21" s="89"/>
      <c r="J21" s="89"/>
      <c r="K21" s="89"/>
      <c r="L21" s="89"/>
      <c r="M21" s="89"/>
      <c r="N21" s="89"/>
      <c r="O21" s="528"/>
      <c r="P21" s="35"/>
      <c r="Q21" s="35"/>
      <c r="R21" s="35"/>
      <c r="S21" s="35"/>
      <c r="T21" s="35"/>
      <c r="U21" s="35"/>
      <c r="V21" s="35"/>
      <c r="W21" s="35"/>
      <c r="X21" s="35"/>
      <c r="Y21" s="35"/>
    </row>
    <row r="22" spans="1:25">
      <c r="A22" s="2067"/>
      <c r="B22" s="2068"/>
      <c r="C22" s="41">
        <v>2019</v>
      </c>
      <c r="D22" s="526"/>
      <c r="E22" s="527"/>
      <c r="F22" s="527"/>
      <c r="G22" s="519">
        <f>SUM(D22:F22)</f>
        <v>0</v>
      </c>
      <c r="H22" s="433"/>
      <c r="I22" s="89"/>
      <c r="J22" s="89"/>
      <c r="K22" s="89"/>
      <c r="L22" s="89"/>
      <c r="M22" s="89"/>
      <c r="N22" s="89"/>
      <c r="O22" s="528"/>
      <c r="P22" s="35"/>
      <c r="Q22" s="35"/>
      <c r="R22" s="35"/>
      <c r="S22" s="35"/>
      <c r="T22" s="35"/>
      <c r="U22" s="35"/>
      <c r="V22" s="35"/>
      <c r="W22" s="35"/>
      <c r="X22" s="35"/>
      <c r="Y22" s="35"/>
    </row>
    <row r="23" spans="1:25">
      <c r="A23" s="2067"/>
      <c r="B23" s="2068"/>
      <c r="C23" s="36">
        <v>2020</v>
      </c>
      <c r="D23" s="526"/>
      <c r="E23" s="527"/>
      <c r="F23" s="527"/>
      <c r="G23" s="519">
        <f t="shared" si="0"/>
        <v>0</v>
      </c>
      <c r="H23" s="433"/>
      <c r="I23" s="89"/>
      <c r="J23" s="89"/>
      <c r="K23" s="89"/>
      <c r="L23" s="89"/>
      <c r="M23" s="89"/>
      <c r="N23" s="89"/>
      <c r="O23" s="528"/>
      <c r="P23" s="35"/>
      <c r="Q23" s="35"/>
      <c r="R23" s="35"/>
      <c r="S23" s="35"/>
      <c r="T23" s="35"/>
      <c r="U23" s="35"/>
      <c r="V23" s="35"/>
      <c r="W23" s="35"/>
      <c r="X23" s="35"/>
      <c r="Y23" s="35"/>
    </row>
    <row r="24" spans="1:25" ht="39" customHeight="1" thickBot="1">
      <c r="A24" s="2069"/>
      <c r="B24" s="2070"/>
      <c r="C24" s="42" t="s">
        <v>13</v>
      </c>
      <c r="D24" s="529">
        <f>SUM(D17:D23)</f>
        <v>76</v>
      </c>
      <c r="E24" s="530">
        <f>SUM(E17:E23)</f>
        <v>5</v>
      </c>
      <c r="F24" s="530">
        <f>SUM(F17:F23)</f>
        <v>2</v>
      </c>
      <c r="G24" s="531">
        <f>SUM(D24:F24)</f>
        <v>83</v>
      </c>
      <c r="H24" s="435">
        <f>SUM(H17:H23)</f>
        <v>0</v>
      </c>
      <c r="I24" s="532">
        <f>SUM(I17:I23)</f>
        <v>39</v>
      </c>
      <c r="J24" s="532">
        <f t="shared" ref="J24:N24" si="1">SUM(J17:J23)</f>
        <v>0</v>
      </c>
      <c r="K24" s="532">
        <f t="shared" si="1"/>
        <v>12</v>
      </c>
      <c r="L24" s="532">
        <f t="shared" si="1"/>
        <v>11</v>
      </c>
      <c r="M24" s="532">
        <f t="shared" si="1"/>
        <v>0</v>
      </c>
      <c r="N24" s="532">
        <f t="shared" si="1"/>
        <v>0</v>
      </c>
      <c r="O24" s="436">
        <f>SUM(O17:O23)</f>
        <v>21</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515"/>
      <c r="B26" s="516"/>
      <c r="C26" s="50"/>
      <c r="D26" s="1959" t="s">
        <v>5</v>
      </c>
      <c r="E26" s="2071"/>
      <c r="F26" s="2071"/>
      <c r="G26" s="2072"/>
      <c r="H26" s="15"/>
      <c r="I26" s="16"/>
      <c r="J26" s="17"/>
      <c r="K26" s="17"/>
      <c r="L26" s="17"/>
      <c r="M26" s="17"/>
      <c r="N26" s="17"/>
      <c r="O26" s="15"/>
      <c r="P26" s="15"/>
    </row>
    <row r="27" spans="1:25" s="56" customFormat="1" ht="55.5"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2067" t="s">
        <v>243</v>
      </c>
      <c r="B28" s="2068"/>
      <c r="C28" s="57">
        <v>2014</v>
      </c>
      <c r="D28" s="33"/>
      <c r="E28" s="31"/>
      <c r="F28" s="31"/>
      <c r="G28" s="58">
        <f>SUM(D28:F28)</f>
        <v>0</v>
      </c>
      <c r="H28" s="35"/>
      <c r="I28" s="35"/>
      <c r="J28" s="35"/>
      <c r="K28" s="35"/>
      <c r="L28" s="35"/>
      <c r="M28" s="35"/>
      <c r="N28" s="35"/>
      <c r="O28" s="35"/>
      <c r="P28" s="35"/>
      <c r="Q28" s="7"/>
    </row>
    <row r="29" spans="1:25">
      <c r="A29" s="2067"/>
      <c r="B29" s="2068"/>
      <c r="C29" s="59">
        <v>2015</v>
      </c>
      <c r="D29" s="433">
        <f>996+17+14+233+17+250+24+220+24+244-65+5000</f>
        <v>6974</v>
      </c>
      <c r="E29" s="92">
        <f>20000+65000+25000</f>
        <v>110000</v>
      </c>
      <c r="F29" s="38">
        <v>0</v>
      </c>
      <c r="G29" s="434">
        <f t="shared" ref="G29:G34" si="2">SUM(D29:F29)</f>
        <v>116974</v>
      </c>
      <c r="H29" s="35"/>
      <c r="I29" s="35"/>
      <c r="J29" s="35"/>
      <c r="K29" s="35"/>
      <c r="L29" s="35"/>
      <c r="M29" s="35"/>
      <c r="N29" s="35"/>
      <c r="O29" s="35"/>
      <c r="P29" s="35"/>
      <c r="Q29" s="7"/>
    </row>
    <row r="30" spans="1:25">
      <c r="A30" s="2067"/>
      <c r="B30" s="2068"/>
      <c r="C30" s="59">
        <v>2016</v>
      </c>
      <c r="D30" s="433">
        <f>143+63+40+91+106+57+317+23+22+43+42+44+44+43+115+13+22+23+83+54+154+367</f>
        <v>1909</v>
      </c>
      <c r="E30" s="92">
        <f>32000+50000+20000</f>
        <v>102000</v>
      </c>
      <c r="F30" s="89">
        <v>400000</v>
      </c>
      <c r="G30" s="434">
        <f>D30+E30+F30</f>
        <v>503909</v>
      </c>
      <c r="H30" s="35"/>
      <c r="I30" s="35"/>
      <c r="J30" s="35"/>
      <c r="K30" s="35"/>
      <c r="L30" s="35"/>
      <c r="M30" s="35"/>
      <c r="N30" s="35"/>
      <c r="O30" s="35"/>
      <c r="P30" s="35"/>
      <c r="Q30" s="7"/>
    </row>
    <row r="31" spans="1:25">
      <c r="A31" s="2067"/>
      <c r="B31" s="2068"/>
      <c r="C31" s="59">
        <v>2017</v>
      </c>
      <c r="D31" s="433">
        <f>52+2000+700</f>
        <v>2752</v>
      </c>
      <c r="E31" s="89">
        <v>0</v>
      </c>
      <c r="F31" s="89">
        <v>400000</v>
      </c>
      <c r="G31" s="434">
        <f t="shared" si="2"/>
        <v>402752</v>
      </c>
      <c r="H31" s="35"/>
      <c r="I31" s="35"/>
      <c r="J31" s="35"/>
      <c r="K31" s="35"/>
      <c r="L31" s="35"/>
      <c r="M31" s="35"/>
      <c r="N31" s="35"/>
      <c r="O31" s="35"/>
      <c r="P31" s="35"/>
      <c r="Q31" s="7"/>
    </row>
    <row r="32" spans="1:25">
      <c r="A32" s="2067"/>
      <c r="B32" s="2068"/>
      <c r="C32" s="59">
        <v>2018</v>
      </c>
      <c r="D32" s="433"/>
      <c r="E32" s="89"/>
      <c r="F32" s="89"/>
      <c r="G32" s="434">
        <f>SUM(D32:F32)</f>
        <v>0</v>
      </c>
      <c r="H32" s="35"/>
      <c r="I32" s="35"/>
      <c r="J32" s="35"/>
      <c r="K32" s="35"/>
      <c r="L32" s="35"/>
      <c r="M32" s="35"/>
      <c r="N32" s="35"/>
      <c r="O32" s="35"/>
      <c r="P32" s="35"/>
      <c r="Q32" s="7"/>
    </row>
    <row r="33" spans="1:17">
      <c r="A33" s="2067"/>
      <c r="B33" s="2068"/>
      <c r="C33" s="60">
        <v>2019</v>
      </c>
      <c r="D33" s="433"/>
      <c r="E33" s="89"/>
      <c r="F33" s="89"/>
      <c r="G33" s="434">
        <f t="shared" si="2"/>
        <v>0</v>
      </c>
      <c r="H33" s="35"/>
      <c r="I33" s="35"/>
      <c r="J33" s="35"/>
      <c r="K33" s="35"/>
      <c r="L33" s="35"/>
      <c r="M33" s="35"/>
      <c r="N33" s="35"/>
      <c r="O33" s="35"/>
      <c r="P33" s="35"/>
      <c r="Q33" s="7"/>
    </row>
    <row r="34" spans="1:17" ht="16.5" customHeight="1">
      <c r="A34" s="2067"/>
      <c r="B34" s="2068"/>
      <c r="C34" s="59">
        <v>2020</v>
      </c>
      <c r="D34" s="433"/>
      <c r="E34" s="89"/>
      <c r="F34" s="89"/>
      <c r="G34" s="434">
        <f t="shared" si="2"/>
        <v>0</v>
      </c>
      <c r="H34" s="35"/>
      <c r="I34" s="35"/>
      <c r="J34" s="35"/>
      <c r="K34" s="35"/>
      <c r="L34" s="35"/>
      <c r="M34" s="35"/>
      <c r="N34" s="35"/>
      <c r="O34" s="35"/>
      <c r="P34" s="35"/>
      <c r="Q34" s="7"/>
    </row>
    <row r="35" spans="1:17" ht="88.5" customHeight="1" thickBot="1">
      <c r="A35" s="2069"/>
      <c r="B35" s="2070"/>
      <c r="C35" s="61" t="s">
        <v>13</v>
      </c>
      <c r="D35" s="435">
        <f>SUM(D28:D34)</f>
        <v>11635</v>
      </c>
      <c r="E35" s="94">
        <f>SUM(E28:E34)</f>
        <v>212000</v>
      </c>
      <c r="F35" s="94">
        <f>SUM(F28:F34)</f>
        <v>800000</v>
      </c>
      <c r="G35" s="436">
        <f>D35+E35+F35</f>
        <v>1023635</v>
      </c>
      <c r="H35" s="35"/>
      <c r="I35" s="533"/>
      <c r="J35" s="35"/>
      <c r="K35" s="35"/>
      <c r="L35" s="35"/>
      <c r="M35" s="35"/>
      <c r="N35" s="35"/>
      <c r="O35" s="35"/>
      <c r="P35" s="35"/>
      <c r="Q35" s="7"/>
    </row>
    <row r="36" spans="1:17">
      <c r="A36" s="62"/>
      <c r="B36" s="62"/>
      <c r="C36" s="49"/>
      <c r="H36" s="7"/>
      <c r="I36" s="534"/>
      <c r="J36" s="534"/>
      <c r="K36" s="534"/>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535" t="s">
        <v>26</v>
      </c>
      <c r="B39" s="536" t="s">
        <v>171</v>
      </c>
      <c r="C39" s="68" t="s">
        <v>9</v>
      </c>
      <c r="D39" s="69" t="s">
        <v>28</v>
      </c>
      <c r="E39" s="70" t="s">
        <v>29</v>
      </c>
      <c r="F39" s="71"/>
      <c r="G39" s="28"/>
      <c r="H39" s="28"/>
    </row>
    <row r="40" spans="1:17">
      <c r="A40" s="1874"/>
      <c r="B40" s="1855"/>
      <c r="C40" s="72">
        <v>2014</v>
      </c>
      <c r="D40" s="30"/>
      <c r="E40" s="29"/>
      <c r="F40" s="7"/>
      <c r="G40" s="35"/>
      <c r="H40" s="35"/>
    </row>
    <row r="41" spans="1:17">
      <c r="A41" s="1854"/>
      <c r="B41" s="1855"/>
      <c r="C41" s="73">
        <v>2015</v>
      </c>
      <c r="D41" s="537">
        <v>11060</v>
      </c>
      <c r="E41" s="538">
        <v>3374</v>
      </c>
      <c r="F41" s="7"/>
      <c r="G41" s="35"/>
      <c r="H41" s="35"/>
    </row>
    <row r="42" spans="1:17">
      <c r="A42" s="1854"/>
      <c r="B42" s="1855"/>
      <c r="C42" s="73">
        <v>2016</v>
      </c>
      <c r="D42" s="537">
        <v>34877</v>
      </c>
      <c r="E42" s="538">
        <v>13201</v>
      </c>
      <c r="F42" s="7"/>
      <c r="G42" s="35"/>
      <c r="H42" s="35"/>
    </row>
    <row r="43" spans="1:17">
      <c r="A43" s="1854"/>
      <c r="B43" s="1855"/>
      <c r="C43" s="73">
        <v>2017</v>
      </c>
      <c r="D43" s="537">
        <v>38888</v>
      </c>
      <c r="E43" s="538">
        <v>151858</v>
      </c>
      <c r="F43" s="7"/>
      <c r="G43" s="35"/>
      <c r="H43" s="35"/>
    </row>
    <row r="44" spans="1:17">
      <c r="A44" s="1854"/>
      <c r="B44" s="1855"/>
      <c r="C44" s="73">
        <v>2018</v>
      </c>
      <c r="D44" s="74"/>
      <c r="E44" s="75"/>
      <c r="F44" s="7"/>
      <c r="G44" s="35"/>
      <c r="H44" s="35"/>
    </row>
    <row r="45" spans="1:17">
      <c r="A45" s="1854"/>
      <c r="B45" s="1855"/>
      <c r="C45" s="73">
        <v>2019</v>
      </c>
      <c r="D45" s="74"/>
      <c r="E45" s="75"/>
      <c r="F45" s="7"/>
      <c r="G45" s="35"/>
      <c r="H45" s="35"/>
    </row>
    <row r="46" spans="1:17">
      <c r="A46" s="1854"/>
      <c r="B46" s="1855"/>
      <c r="C46" s="73">
        <v>2020</v>
      </c>
      <c r="D46" s="74"/>
      <c r="E46" s="75"/>
      <c r="F46" s="7"/>
      <c r="G46" s="35"/>
      <c r="H46" s="35"/>
    </row>
    <row r="47" spans="1:17" ht="15.75" thickBot="1">
      <c r="A47" s="1856"/>
      <c r="B47" s="1857"/>
      <c r="C47" s="42" t="s">
        <v>13</v>
      </c>
      <c r="D47" s="76">
        <f>SUM(D40:D46)</f>
        <v>84825</v>
      </c>
      <c r="E47" s="77">
        <f>SUM(E40:E46)</f>
        <v>168433</v>
      </c>
      <c r="F47" s="78"/>
      <c r="G47" s="35"/>
      <c r="H47" s="35"/>
    </row>
    <row r="48" spans="1:17" s="35" customFormat="1" ht="15.75" thickBot="1">
      <c r="A48" s="539"/>
      <c r="B48" s="80"/>
      <c r="C48" s="81"/>
    </row>
    <row r="49" spans="1:15" ht="83.25" customHeight="1">
      <c r="A49" s="82" t="s">
        <v>32</v>
      </c>
      <c r="B49" s="536" t="s">
        <v>171</v>
      </c>
      <c r="C49" s="84" t="s">
        <v>9</v>
      </c>
      <c r="D49" s="69" t="s">
        <v>34</v>
      </c>
      <c r="E49" s="85" t="s">
        <v>35</v>
      </c>
      <c r="F49" s="85" t="s">
        <v>36</v>
      </c>
      <c r="G49" s="85" t="s">
        <v>37</v>
      </c>
      <c r="H49" s="85" t="s">
        <v>38</v>
      </c>
      <c r="I49" s="85" t="s">
        <v>39</v>
      </c>
      <c r="J49" s="85" t="s">
        <v>40</v>
      </c>
      <c r="K49" s="86" t="s">
        <v>41</v>
      </c>
    </row>
    <row r="50" spans="1:15" ht="17.25" customHeight="1">
      <c r="A50" s="1872"/>
      <c r="B50" s="1879"/>
      <c r="C50" s="87" t="s">
        <v>43</v>
      </c>
      <c r="D50" s="30"/>
      <c r="E50" s="31"/>
      <c r="F50" s="31"/>
      <c r="G50" s="31"/>
      <c r="H50" s="31"/>
      <c r="I50" s="31"/>
      <c r="J50" s="31"/>
      <c r="K50" s="34"/>
    </row>
    <row r="51" spans="1:15" ht="15" customHeight="1">
      <c r="A51" s="1874"/>
      <c r="B51" s="1881"/>
      <c r="C51" s="73">
        <v>2014</v>
      </c>
      <c r="D51" s="37"/>
      <c r="E51" s="38"/>
      <c r="F51" s="38"/>
      <c r="G51" s="38"/>
      <c r="H51" s="38"/>
      <c r="I51" s="38"/>
      <c r="J51" s="38"/>
      <c r="K51" s="88"/>
    </row>
    <row r="52" spans="1:15">
      <c r="A52" s="1874"/>
      <c r="B52" s="1881"/>
      <c r="C52" s="73">
        <v>2015</v>
      </c>
      <c r="D52" s="37">
        <v>0</v>
      </c>
      <c r="E52" s="38">
        <v>0</v>
      </c>
      <c r="F52" s="38">
        <v>0</v>
      </c>
      <c r="G52" s="38">
        <v>0</v>
      </c>
      <c r="H52" s="38">
        <v>0</v>
      </c>
      <c r="I52" s="38">
        <v>0</v>
      </c>
      <c r="J52" s="38">
        <v>0</v>
      </c>
      <c r="K52" s="88">
        <v>0</v>
      </c>
    </row>
    <row r="53" spans="1:15">
      <c r="A53" s="1874"/>
      <c r="B53" s="1881"/>
      <c r="C53" s="73">
        <v>2016</v>
      </c>
      <c r="D53" s="37">
        <v>0</v>
      </c>
      <c r="E53" s="38">
        <v>0</v>
      </c>
      <c r="F53" s="38">
        <v>0</v>
      </c>
      <c r="G53" s="38">
        <v>0</v>
      </c>
      <c r="H53" s="38">
        <v>0</v>
      </c>
      <c r="I53" s="38">
        <v>0</v>
      </c>
      <c r="J53" s="38">
        <v>0</v>
      </c>
      <c r="K53" s="88">
        <v>0</v>
      </c>
    </row>
    <row r="54" spans="1:15">
      <c r="A54" s="1874"/>
      <c r="B54" s="1881"/>
      <c r="C54" s="73">
        <v>2017</v>
      </c>
      <c r="D54" s="37">
        <v>0</v>
      </c>
      <c r="E54" s="38">
        <v>0</v>
      </c>
      <c r="F54" s="38">
        <v>0</v>
      </c>
      <c r="G54" s="38">
        <v>0</v>
      </c>
      <c r="H54" s="38">
        <v>0</v>
      </c>
      <c r="I54" s="38">
        <v>0</v>
      </c>
      <c r="J54" s="38">
        <v>0</v>
      </c>
      <c r="K54" s="88">
        <v>0</v>
      </c>
    </row>
    <row r="55" spans="1:15">
      <c r="A55" s="1874"/>
      <c r="B55" s="1881"/>
      <c r="C55" s="73">
        <v>2018</v>
      </c>
      <c r="D55" s="37"/>
      <c r="E55" s="38"/>
      <c r="F55" s="38"/>
      <c r="G55" s="38"/>
      <c r="H55" s="38"/>
      <c r="I55" s="38"/>
      <c r="J55" s="38"/>
      <c r="K55" s="88"/>
    </row>
    <row r="56" spans="1:15">
      <c r="A56" s="1874"/>
      <c r="B56" s="1881"/>
      <c r="C56" s="73">
        <v>2019</v>
      </c>
      <c r="D56" s="37"/>
      <c r="E56" s="38"/>
      <c r="F56" s="38"/>
      <c r="G56" s="38"/>
      <c r="H56" s="38"/>
      <c r="I56" s="38"/>
      <c r="J56" s="38"/>
      <c r="K56" s="88"/>
    </row>
    <row r="57" spans="1:15">
      <c r="A57" s="1874"/>
      <c r="B57" s="1881"/>
      <c r="C57" s="73">
        <v>2020</v>
      </c>
      <c r="D57" s="37"/>
      <c r="E57" s="38"/>
      <c r="F57" s="38"/>
      <c r="G57" s="38"/>
      <c r="H57" s="38"/>
      <c r="I57" s="38"/>
      <c r="J57" s="38"/>
      <c r="K57" s="93"/>
    </row>
    <row r="58" spans="1:15" ht="20.25" customHeight="1" thickBot="1">
      <c r="A58" s="1876"/>
      <c r="B58" s="1883"/>
      <c r="C58" s="42" t="s">
        <v>13</v>
      </c>
      <c r="D58" s="43">
        <f>SUM(D51:D57)</f>
        <v>0</v>
      </c>
      <c r="E58" s="44">
        <f>SUM(E51:E57)</f>
        <v>0</v>
      </c>
      <c r="F58" s="44">
        <f>SUM(F51:F57)</f>
        <v>0</v>
      </c>
      <c r="G58" s="44">
        <f>SUM(G51:G57)</f>
        <v>0</v>
      </c>
      <c r="H58" s="44">
        <f>SUM(H51:H57)</f>
        <v>0</v>
      </c>
      <c r="I58" s="44">
        <f t="shared" ref="I58" si="3">SUM(I51:I57)</f>
        <v>0</v>
      </c>
      <c r="J58" s="44">
        <f>SUM(J51:J57)</f>
        <v>0</v>
      </c>
      <c r="K58" s="48">
        <f>SUM(K50:K56)</f>
        <v>0</v>
      </c>
    </row>
    <row r="59" spans="1:15" ht="15.75" thickBot="1"/>
    <row r="60" spans="1:15" ht="21" customHeight="1">
      <c r="A60" s="2073" t="s">
        <v>44</v>
      </c>
      <c r="B60" s="540"/>
      <c r="C60" s="2074" t="s">
        <v>9</v>
      </c>
      <c r="D60" s="1941" t="s">
        <v>45</v>
      </c>
      <c r="E60" s="96" t="s">
        <v>6</v>
      </c>
      <c r="F60" s="541"/>
      <c r="G60" s="541"/>
      <c r="H60" s="541"/>
      <c r="I60" s="541"/>
      <c r="J60" s="541"/>
      <c r="K60" s="541"/>
      <c r="L60" s="542"/>
    </row>
    <row r="61" spans="1:15" ht="115.5" customHeight="1">
      <c r="A61" s="1970"/>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2061"/>
      <c r="B62" s="2063" t="s">
        <v>244</v>
      </c>
      <c r="C62" s="106">
        <v>2014</v>
      </c>
      <c r="D62" s="107"/>
      <c r="E62" s="108"/>
      <c r="F62" s="109"/>
      <c r="G62" s="109"/>
      <c r="H62" s="109"/>
      <c r="I62" s="109"/>
      <c r="J62" s="109"/>
      <c r="K62" s="109"/>
      <c r="L62" s="34"/>
      <c r="M62" s="7"/>
      <c r="N62" s="7"/>
      <c r="O62" s="7"/>
    </row>
    <row r="63" spans="1:15">
      <c r="A63" s="2061"/>
      <c r="B63" s="2061"/>
      <c r="C63" s="110">
        <v>2015</v>
      </c>
      <c r="D63" s="111">
        <v>1</v>
      </c>
      <c r="E63" s="112">
        <v>0</v>
      </c>
      <c r="F63" s="38">
        <v>0</v>
      </c>
      <c r="G63" s="38">
        <v>0</v>
      </c>
      <c r="H63" s="38">
        <v>0</v>
      </c>
      <c r="I63" s="38">
        <v>0</v>
      </c>
      <c r="J63" s="38">
        <v>0</v>
      </c>
      <c r="K63" s="38">
        <v>0</v>
      </c>
      <c r="L63" s="88">
        <v>1</v>
      </c>
      <c r="M63" s="7"/>
      <c r="N63" s="7"/>
      <c r="O63" s="7"/>
    </row>
    <row r="64" spans="1:15">
      <c r="A64" s="2061"/>
      <c r="B64" s="2061"/>
      <c r="C64" s="110">
        <v>2016</v>
      </c>
      <c r="D64" s="111">
        <v>2</v>
      </c>
      <c r="E64" s="112">
        <v>0</v>
      </c>
      <c r="F64" s="38">
        <v>0</v>
      </c>
      <c r="G64" s="38">
        <v>0</v>
      </c>
      <c r="H64" s="38">
        <v>0</v>
      </c>
      <c r="I64" s="38">
        <v>0</v>
      </c>
      <c r="J64" s="38">
        <v>0</v>
      </c>
      <c r="K64" s="38">
        <v>0</v>
      </c>
      <c r="L64" s="88">
        <f>1+1</f>
        <v>2</v>
      </c>
      <c r="M64" s="7"/>
      <c r="N64" s="7"/>
      <c r="O64" s="7"/>
    </row>
    <row r="65" spans="1:20">
      <c r="A65" s="2061"/>
      <c r="B65" s="2061"/>
      <c r="C65" s="110">
        <v>2017</v>
      </c>
      <c r="D65" s="111">
        <v>6</v>
      </c>
      <c r="E65" s="112">
        <f>1+1</f>
        <v>2</v>
      </c>
      <c r="F65" s="38">
        <f>1</f>
        <v>1</v>
      </c>
      <c r="G65" s="38">
        <v>0</v>
      </c>
      <c r="H65" s="38">
        <f>1+1+1</f>
        <v>3</v>
      </c>
      <c r="I65" s="38">
        <v>0</v>
      </c>
      <c r="J65" s="38">
        <v>0</v>
      </c>
      <c r="K65" s="38">
        <v>0</v>
      </c>
      <c r="L65" s="88">
        <v>0</v>
      </c>
      <c r="M65" s="7"/>
      <c r="N65" s="7"/>
      <c r="O65" s="7"/>
    </row>
    <row r="66" spans="1:20">
      <c r="A66" s="2061"/>
      <c r="B66" s="2061"/>
      <c r="C66" s="110">
        <v>2018</v>
      </c>
      <c r="D66" s="111"/>
      <c r="E66" s="112"/>
      <c r="F66" s="38"/>
      <c r="G66" s="38"/>
      <c r="H66" s="38"/>
      <c r="I66" s="38"/>
      <c r="J66" s="38"/>
      <c r="K66" s="38"/>
      <c r="L66" s="88"/>
      <c r="M66" s="7"/>
      <c r="N66" s="7"/>
      <c r="O66" s="7"/>
    </row>
    <row r="67" spans="1:20" ht="17.25" customHeight="1">
      <c r="A67" s="2061"/>
      <c r="B67" s="2061"/>
      <c r="C67" s="110">
        <v>2019</v>
      </c>
      <c r="D67" s="111"/>
      <c r="E67" s="112"/>
      <c r="F67" s="38"/>
      <c r="G67" s="38"/>
      <c r="H67" s="38"/>
      <c r="I67" s="38"/>
      <c r="J67" s="38"/>
      <c r="K67" s="38"/>
      <c r="L67" s="88"/>
      <c r="M67" s="7"/>
      <c r="N67" s="7"/>
      <c r="O67" s="7"/>
    </row>
    <row r="68" spans="1:20" ht="16.5" customHeight="1">
      <c r="A68" s="2061"/>
      <c r="B68" s="2061"/>
      <c r="C68" s="110">
        <v>2020</v>
      </c>
      <c r="D68" s="111"/>
      <c r="E68" s="112"/>
      <c r="F68" s="38"/>
      <c r="G68" s="38"/>
      <c r="H68" s="38"/>
      <c r="I68" s="38"/>
      <c r="J68" s="38"/>
      <c r="K68" s="38"/>
      <c r="L68" s="88"/>
      <c r="M68" s="78"/>
      <c r="N68" s="78"/>
      <c r="O68" s="78"/>
    </row>
    <row r="69" spans="1:20" ht="18" customHeight="1" thickBot="1">
      <c r="A69" s="2062"/>
      <c r="B69" s="2062"/>
      <c r="C69" s="113" t="s">
        <v>13</v>
      </c>
      <c r="D69" s="114">
        <f>SUM(D62:D68)</f>
        <v>9</v>
      </c>
      <c r="E69" s="115">
        <f>SUM(E62:E68)</f>
        <v>2</v>
      </c>
      <c r="F69" s="116">
        <f t="shared" ref="F69:I69" si="4">SUM(F62:F68)</f>
        <v>1</v>
      </c>
      <c r="G69" s="116">
        <f t="shared" si="4"/>
        <v>0</v>
      </c>
      <c r="H69" s="116">
        <f t="shared" si="4"/>
        <v>3</v>
      </c>
      <c r="I69" s="116">
        <f t="shared" si="4"/>
        <v>0</v>
      </c>
      <c r="J69" s="116"/>
      <c r="K69" s="116">
        <f>SUM(K62:K68)</f>
        <v>0</v>
      </c>
      <c r="L69" s="117">
        <f>SUM(L62:L68)</f>
        <v>3</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535" t="s">
        <v>47</v>
      </c>
      <c r="B71" s="536"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2064" t="s">
        <v>245</v>
      </c>
      <c r="B72" s="2032"/>
      <c r="C72" s="72">
        <v>2014</v>
      </c>
      <c r="D72" s="131"/>
      <c r="E72" s="131"/>
      <c r="F72" s="131"/>
      <c r="G72" s="132">
        <f>SUM(D72:F72)</f>
        <v>0</v>
      </c>
      <c r="H72" s="30"/>
      <c r="I72" s="133"/>
      <c r="J72" s="109"/>
      <c r="K72" s="109"/>
      <c r="L72" s="109"/>
      <c r="M72" s="109"/>
      <c r="N72" s="109"/>
      <c r="O72" s="134"/>
    </row>
    <row r="73" spans="1:20">
      <c r="A73" s="2065"/>
      <c r="B73" s="2032"/>
      <c r="C73" s="73">
        <v>2015</v>
      </c>
      <c r="D73" s="135">
        <v>3</v>
      </c>
      <c r="E73" s="135">
        <v>0</v>
      </c>
      <c r="F73" s="135">
        <v>0</v>
      </c>
      <c r="G73" s="132">
        <f t="shared" ref="G73:G78" si="5">SUM(D73:F73)</f>
        <v>3</v>
      </c>
      <c r="H73" s="37">
        <v>0</v>
      </c>
      <c r="I73" s="526">
        <v>0</v>
      </c>
      <c r="J73" s="527">
        <v>0</v>
      </c>
      <c r="K73" s="527">
        <v>0</v>
      </c>
      <c r="L73" s="527">
        <v>0</v>
      </c>
      <c r="M73" s="527">
        <v>0</v>
      </c>
      <c r="N73" s="527">
        <v>0</v>
      </c>
      <c r="O73" s="543">
        <v>3</v>
      </c>
    </row>
    <row r="74" spans="1:20">
      <c r="A74" s="2065"/>
      <c r="B74" s="2032"/>
      <c r="C74" s="73">
        <v>2016</v>
      </c>
      <c r="D74" s="135">
        <f>6+4+2</f>
        <v>12</v>
      </c>
      <c r="E74" s="135">
        <v>0</v>
      </c>
      <c r="F74" s="135">
        <v>0</v>
      </c>
      <c r="G74" s="132">
        <f t="shared" si="5"/>
        <v>12</v>
      </c>
      <c r="H74" s="37">
        <v>0</v>
      </c>
      <c r="I74" s="526">
        <v>0</v>
      </c>
      <c r="J74" s="527">
        <v>0</v>
      </c>
      <c r="K74" s="527">
        <v>0</v>
      </c>
      <c r="L74" s="527">
        <v>0</v>
      </c>
      <c r="M74" s="527">
        <v>0</v>
      </c>
      <c r="N74" s="527">
        <v>0</v>
      </c>
      <c r="O74" s="543">
        <f>6+4+2</f>
        <v>12</v>
      </c>
    </row>
    <row r="75" spans="1:20">
      <c r="A75" s="2065"/>
      <c r="B75" s="2032"/>
      <c r="C75" s="73">
        <v>2017</v>
      </c>
      <c r="D75" s="135">
        <v>1</v>
      </c>
      <c r="E75" s="135">
        <v>0</v>
      </c>
      <c r="F75" s="135">
        <v>0</v>
      </c>
      <c r="G75" s="132">
        <f t="shared" si="5"/>
        <v>1</v>
      </c>
      <c r="H75" s="37">
        <v>0</v>
      </c>
      <c r="I75" s="526">
        <v>1</v>
      </c>
      <c r="J75" s="527">
        <v>0</v>
      </c>
      <c r="K75" s="527">
        <v>0</v>
      </c>
      <c r="L75" s="527">
        <v>0</v>
      </c>
      <c r="M75" s="527">
        <v>0</v>
      </c>
      <c r="N75" s="527">
        <v>0</v>
      </c>
      <c r="O75" s="543">
        <v>0</v>
      </c>
    </row>
    <row r="76" spans="1:20">
      <c r="A76" s="2065"/>
      <c r="B76" s="2032"/>
      <c r="C76" s="73">
        <v>2018</v>
      </c>
      <c r="D76" s="135"/>
      <c r="E76" s="135"/>
      <c r="F76" s="135"/>
      <c r="G76" s="132">
        <f t="shared" si="5"/>
        <v>0</v>
      </c>
      <c r="H76" s="37"/>
      <c r="I76" s="526"/>
      <c r="J76" s="527"/>
      <c r="K76" s="527"/>
      <c r="L76" s="527"/>
      <c r="M76" s="527"/>
      <c r="N76" s="527"/>
      <c r="O76" s="543"/>
    </row>
    <row r="77" spans="1:20" ht="15.75" customHeight="1">
      <c r="A77" s="2065"/>
      <c r="B77" s="2032"/>
      <c r="C77" s="73">
        <v>2019</v>
      </c>
      <c r="D77" s="135"/>
      <c r="E77" s="135"/>
      <c r="F77" s="135"/>
      <c r="G77" s="132">
        <f t="shared" si="5"/>
        <v>0</v>
      </c>
      <c r="H77" s="37"/>
      <c r="I77" s="526"/>
      <c r="J77" s="527"/>
      <c r="K77" s="527"/>
      <c r="L77" s="527"/>
      <c r="M77" s="527"/>
      <c r="N77" s="527"/>
      <c r="O77" s="543"/>
    </row>
    <row r="78" spans="1:20" ht="17.25" customHeight="1">
      <c r="A78" s="2065"/>
      <c r="B78" s="2032"/>
      <c r="C78" s="73">
        <v>2020</v>
      </c>
      <c r="D78" s="135"/>
      <c r="E78" s="135"/>
      <c r="F78" s="135"/>
      <c r="G78" s="132">
        <f t="shared" si="5"/>
        <v>0</v>
      </c>
      <c r="H78" s="37"/>
      <c r="I78" s="526"/>
      <c r="J78" s="527"/>
      <c r="K78" s="527"/>
      <c r="L78" s="527"/>
      <c r="M78" s="527"/>
      <c r="N78" s="527"/>
      <c r="O78" s="543"/>
    </row>
    <row r="79" spans="1:20" ht="20.25" customHeight="1" thickBot="1">
      <c r="A79" s="2066"/>
      <c r="B79" s="2033"/>
      <c r="C79" s="136" t="s">
        <v>13</v>
      </c>
      <c r="D79" s="114">
        <f>SUM(D72:D78)</f>
        <v>16</v>
      </c>
      <c r="E79" s="114">
        <f>SUM(E72:E78)</f>
        <v>0</v>
      </c>
      <c r="F79" s="114">
        <f>SUM(F72:F78)</f>
        <v>0</v>
      </c>
      <c r="G79" s="137">
        <f>SUM(G72:G78)</f>
        <v>16</v>
      </c>
      <c r="H79" s="138">
        <v>0</v>
      </c>
      <c r="I79" s="544">
        <f t="shared" ref="I79:O79" si="6">SUM(I72:I78)</f>
        <v>1</v>
      </c>
      <c r="J79" s="545">
        <f t="shared" si="6"/>
        <v>0</v>
      </c>
      <c r="K79" s="545">
        <f t="shared" si="6"/>
        <v>0</v>
      </c>
      <c r="L79" s="545">
        <f t="shared" si="6"/>
        <v>0</v>
      </c>
      <c r="M79" s="545">
        <f t="shared" si="6"/>
        <v>0</v>
      </c>
      <c r="N79" s="545">
        <f t="shared" si="6"/>
        <v>0</v>
      </c>
      <c r="O79" s="546">
        <f t="shared" si="6"/>
        <v>15</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547" t="s">
        <v>56</v>
      </c>
      <c r="B84" s="548" t="s">
        <v>178</v>
      </c>
      <c r="C84" s="149" t="s">
        <v>9</v>
      </c>
      <c r="D84" s="150" t="s">
        <v>58</v>
      </c>
      <c r="E84" s="151" t="s">
        <v>59</v>
      </c>
      <c r="F84" s="152" t="s">
        <v>60</v>
      </c>
      <c r="G84" s="152" t="s">
        <v>61</v>
      </c>
      <c r="H84" s="152" t="s">
        <v>62</v>
      </c>
      <c r="I84" s="152" t="s">
        <v>63</v>
      </c>
      <c r="J84" s="152" t="s">
        <v>64</v>
      </c>
      <c r="K84" s="153" t="s">
        <v>65</v>
      </c>
    </row>
    <row r="85" spans="1:16" ht="15" customHeight="1">
      <c r="A85" s="1938"/>
      <c r="B85" s="1899"/>
      <c r="C85" s="72">
        <v>2014</v>
      </c>
      <c r="D85" s="154"/>
      <c r="E85" s="155"/>
      <c r="F85" s="31"/>
      <c r="G85" s="31"/>
      <c r="H85" s="31"/>
      <c r="I85" s="31"/>
      <c r="J85" s="31"/>
      <c r="K85" s="34"/>
    </row>
    <row r="86" spans="1:16">
      <c r="A86" s="1939"/>
      <c r="B86" s="1899"/>
      <c r="C86" s="73">
        <v>2015</v>
      </c>
      <c r="D86" s="156">
        <v>0</v>
      </c>
      <c r="E86" s="112">
        <v>0</v>
      </c>
      <c r="F86" s="38">
        <v>0</v>
      </c>
      <c r="G86" s="38">
        <v>0</v>
      </c>
      <c r="H86" s="38">
        <v>0</v>
      </c>
      <c r="I86" s="38">
        <v>0</v>
      </c>
      <c r="J86" s="38">
        <v>0</v>
      </c>
      <c r="K86" s="88">
        <v>0</v>
      </c>
    </row>
    <row r="87" spans="1:16">
      <c r="A87" s="1939"/>
      <c r="B87" s="1899"/>
      <c r="C87" s="73">
        <v>2016</v>
      </c>
      <c r="D87" s="156">
        <v>0</v>
      </c>
      <c r="E87" s="112">
        <v>0</v>
      </c>
      <c r="F87" s="38">
        <v>0</v>
      </c>
      <c r="G87" s="38">
        <v>0</v>
      </c>
      <c r="H87" s="38">
        <v>0</v>
      </c>
      <c r="I87" s="38">
        <v>0</v>
      </c>
      <c r="J87" s="38">
        <v>0</v>
      </c>
      <c r="K87" s="88">
        <v>0</v>
      </c>
    </row>
    <row r="88" spans="1:16">
      <c r="A88" s="1939"/>
      <c r="B88" s="1899"/>
      <c r="C88" s="73">
        <v>2017</v>
      </c>
      <c r="D88" s="156">
        <v>0</v>
      </c>
      <c r="E88" s="112">
        <v>0</v>
      </c>
      <c r="F88" s="38">
        <v>0</v>
      </c>
      <c r="G88" s="38">
        <v>0</v>
      </c>
      <c r="H88" s="38">
        <v>0</v>
      </c>
      <c r="I88" s="38">
        <v>0</v>
      </c>
      <c r="J88" s="38">
        <v>0</v>
      </c>
      <c r="K88" s="88">
        <v>0</v>
      </c>
    </row>
    <row r="89" spans="1:16">
      <c r="A89" s="1939"/>
      <c r="B89" s="1899"/>
      <c r="C89" s="73">
        <v>2018</v>
      </c>
      <c r="D89" s="156"/>
      <c r="E89" s="112"/>
      <c r="F89" s="38"/>
      <c r="G89" s="38"/>
      <c r="H89" s="38"/>
      <c r="I89" s="38"/>
      <c r="J89" s="38"/>
      <c r="K89" s="88"/>
    </row>
    <row r="90" spans="1:16">
      <c r="A90" s="1939"/>
      <c r="B90" s="1899"/>
      <c r="C90" s="73">
        <v>2019</v>
      </c>
      <c r="D90" s="156"/>
      <c r="E90" s="112"/>
      <c r="F90" s="38"/>
      <c r="G90" s="38"/>
      <c r="H90" s="38"/>
      <c r="I90" s="38"/>
      <c r="J90" s="38"/>
      <c r="K90" s="88"/>
    </row>
    <row r="91" spans="1:16">
      <c r="A91" s="1939"/>
      <c r="B91" s="1899"/>
      <c r="C91" s="73">
        <v>2020</v>
      </c>
      <c r="D91" s="156"/>
      <c r="E91" s="112"/>
      <c r="F91" s="38"/>
      <c r="G91" s="38"/>
      <c r="H91" s="38"/>
      <c r="I91" s="38"/>
      <c r="J91" s="38"/>
      <c r="K91" s="88"/>
    </row>
    <row r="92" spans="1:16" ht="18" customHeight="1" thickBot="1">
      <c r="A92" s="1940"/>
      <c r="B92" s="1900"/>
      <c r="C92" s="136" t="s">
        <v>13</v>
      </c>
      <c r="D92" s="157">
        <f t="shared" ref="D92:I92" si="7">SUM(D85:D91)</f>
        <v>0</v>
      </c>
      <c r="E92" s="115">
        <f t="shared" si="7"/>
        <v>0</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051" t="s">
        <v>68</v>
      </c>
      <c r="B96" s="2052" t="s">
        <v>179</v>
      </c>
      <c r="C96" s="2058" t="s">
        <v>9</v>
      </c>
      <c r="D96" s="1916" t="s">
        <v>70</v>
      </c>
      <c r="E96" s="1917"/>
      <c r="F96" s="162" t="s">
        <v>71</v>
      </c>
      <c r="G96" s="549"/>
      <c r="H96" s="549"/>
      <c r="I96" s="549"/>
      <c r="J96" s="549"/>
      <c r="K96" s="549"/>
      <c r="L96" s="549"/>
      <c r="M96" s="550"/>
      <c r="N96" s="165"/>
      <c r="O96" s="165"/>
      <c r="P96" s="165"/>
    </row>
    <row r="97" spans="1:16" ht="100.5" customHeight="1">
      <c r="A97" s="1910"/>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1928"/>
      <c r="B98" s="2060" t="s">
        <v>246</v>
      </c>
      <c r="C98" s="106">
        <v>2014</v>
      </c>
      <c r="D98" s="30"/>
      <c r="E98" s="31"/>
      <c r="F98" s="174"/>
      <c r="G98" s="175"/>
      <c r="H98" s="175"/>
      <c r="I98" s="175"/>
      <c r="J98" s="175"/>
      <c r="K98" s="175"/>
      <c r="L98" s="175"/>
      <c r="M98" s="176"/>
      <c r="N98" s="165"/>
      <c r="O98" s="165"/>
      <c r="P98" s="165"/>
    </row>
    <row r="99" spans="1:16" ht="16.5" customHeight="1">
      <c r="A99" s="1928"/>
      <c r="B99" s="2032"/>
      <c r="C99" s="110">
        <v>2015</v>
      </c>
      <c r="D99" s="37">
        <v>1</v>
      </c>
      <c r="E99" s="38">
        <v>2</v>
      </c>
      <c r="F99" s="177">
        <v>0</v>
      </c>
      <c r="G99" s="178">
        <v>0</v>
      </c>
      <c r="H99" s="178">
        <v>0</v>
      </c>
      <c r="I99" s="178">
        <v>0</v>
      </c>
      <c r="J99" s="178">
        <v>0</v>
      </c>
      <c r="K99" s="178">
        <v>0</v>
      </c>
      <c r="L99" s="178">
        <v>0</v>
      </c>
      <c r="M99" s="256">
        <v>1</v>
      </c>
      <c r="N99" s="165"/>
      <c r="O99" s="165"/>
      <c r="P99" s="165"/>
    </row>
    <row r="100" spans="1:16" ht="16.5" customHeight="1">
      <c r="A100" s="1928"/>
      <c r="B100" s="2032"/>
      <c r="C100" s="110">
        <v>2016</v>
      </c>
      <c r="D100" s="37">
        <v>1</v>
      </c>
      <c r="E100" s="339">
        <v>7</v>
      </c>
      <c r="F100" s="177">
        <v>0</v>
      </c>
      <c r="G100" s="178">
        <v>0</v>
      </c>
      <c r="H100" s="178">
        <v>0</v>
      </c>
      <c r="I100" s="178">
        <v>0</v>
      </c>
      <c r="J100" s="178">
        <v>0</v>
      </c>
      <c r="K100" s="178">
        <v>0</v>
      </c>
      <c r="L100" s="178">
        <v>0</v>
      </c>
      <c r="M100" s="256">
        <v>1</v>
      </c>
      <c r="N100" s="165"/>
      <c r="O100" s="165"/>
      <c r="P100" s="165"/>
    </row>
    <row r="101" spans="1:16" ht="16.5" customHeight="1">
      <c r="A101" s="1928"/>
      <c r="B101" s="2032"/>
      <c r="C101" s="110">
        <v>2017</v>
      </c>
      <c r="D101" s="37">
        <v>2</v>
      </c>
      <c r="E101" s="38">
        <f>5+1</f>
        <v>6</v>
      </c>
      <c r="F101" s="177">
        <v>0</v>
      </c>
      <c r="G101" s="178">
        <v>0</v>
      </c>
      <c r="H101" s="178">
        <v>0</v>
      </c>
      <c r="I101" s="178">
        <v>0</v>
      </c>
      <c r="J101" s="178">
        <v>0</v>
      </c>
      <c r="K101" s="178">
        <v>0</v>
      </c>
      <c r="L101" s="178">
        <v>0</v>
      </c>
      <c r="M101" s="179">
        <v>2</v>
      </c>
      <c r="N101" s="165"/>
      <c r="O101" s="165"/>
      <c r="P101" s="165"/>
    </row>
    <row r="102" spans="1:16" ht="15.75" customHeight="1">
      <c r="A102" s="1928"/>
      <c r="B102" s="2032"/>
      <c r="C102" s="110">
        <v>2018</v>
      </c>
      <c r="D102" s="37"/>
      <c r="E102" s="38"/>
      <c r="F102" s="177"/>
      <c r="G102" s="178"/>
      <c r="H102" s="178"/>
      <c r="I102" s="178"/>
      <c r="J102" s="178"/>
      <c r="K102" s="178"/>
      <c r="L102" s="178"/>
      <c r="M102" s="179"/>
      <c r="N102" s="165"/>
      <c r="O102" s="165"/>
      <c r="P102" s="165"/>
    </row>
    <row r="103" spans="1:16" ht="14.25" customHeight="1">
      <c r="A103" s="1928"/>
      <c r="B103" s="2032"/>
      <c r="C103" s="110">
        <v>2019</v>
      </c>
      <c r="D103" s="37"/>
      <c r="E103" s="38"/>
      <c r="F103" s="177"/>
      <c r="G103" s="178"/>
      <c r="H103" s="178"/>
      <c r="I103" s="178"/>
      <c r="J103" s="178"/>
      <c r="K103" s="178"/>
      <c r="L103" s="178"/>
      <c r="M103" s="179"/>
      <c r="N103" s="165"/>
      <c r="O103" s="165"/>
      <c r="P103" s="165"/>
    </row>
    <row r="104" spans="1:16" ht="14.25" customHeight="1">
      <c r="A104" s="1928"/>
      <c r="B104" s="2032"/>
      <c r="C104" s="110">
        <v>2020</v>
      </c>
      <c r="D104" s="37"/>
      <c r="E104" s="38"/>
      <c r="F104" s="177"/>
      <c r="G104" s="178"/>
      <c r="H104" s="178"/>
      <c r="I104" s="178"/>
      <c r="J104" s="178"/>
      <c r="K104" s="178"/>
      <c r="L104" s="178"/>
      <c r="M104" s="179"/>
      <c r="N104" s="165"/>
      <c r="O104" s="165"/>
      <c r="P104" s="165"/>
    </row>
    <row r="105" spans="1:16" ht="56.25" customHeight="1" thickBot="1">
      <c r="A105" s="2059"/>
      <c r="B105" s="2033"/>
      <c r="C105" s="113" t="s">
        <v>13</v>
      </c>
      <c r="D105" s="139">
        <f>SUM(D98:D104)</f>
        <v>4</v>
      </c>
      <c r="E105" s="116">
        <f t="shared" ref="E105:K105" si="8">SUM(E98:E104)</f>
        <v>15</v>
      </c>
      <c r="F105" s="180">
        <f t="shared" si="8"/>
        <v>0</v>
      </c>
      <c r="G105" s="181">
        <f t="shared" si="8"/>
        <v>0</v>
      </c>
      <c r="H105" s="181">
        <f t="shared" si="8"/>
        <v>0</v>
      </c>
      <c r="I105" s="181">
        <f>SUM(I98:I104)</f>
        <v>0</v>
      </c>
      <c r="J105" s="181">
        <f t="shared" si="8"/>
        <v>0</v>
      </c>
      <c r="K105" s="181">
        <f t="shared" si="8"/>
        <v>0</v>
      </c>
      <c r="L105" s="181">
        <f>SUM(L98:L104)</f>
        <v>0</v>
      </c>
      <c r="M105" s="182">
        <f>SUM(M98:M104)</f>
        <v>4</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051" t="s">
        <v>77</v>
      </c>
      <c r="B107" s="2052" t="s">
        <v>179</v>
      </c>
      <c r="C107" s="2058" t="s">
        <v>9</v>
      </c>
      <c r="D107" s="1926" t="s">
        <v>78</v>
      </c>
      <c r="E107" s="162" t="s">
        <v>79</v>
      </c>
      <c r="F107" s="549"/>
      <c r="G107" s="549"/>
      <c r="H107" s="549"/>
      <c r="I107" s="549"/>
      <c r="J107" s="549"/>
      <c r="K107" s="549"/>
      <c r="L107" s="550"/>
      <c r="M107" s="185"/>
      <c r="N107" s="185"/>
    </row>
    <row r="108" spans="1:16" ht="103.5"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1928"/>
      <c r="B109" s="2056"/>
      <c r="C109" s="106">
        <v>2014</v>
      </c>
      <c r="D109" s="31"/>
      <c r="E109" s="174"/>
      <c r="F109" s="175"/>
      <c r="G109" s="175"/>
      <c r="H109" s="175"/>
      <c r="I109" s="175"/>
      <c r="J109" s="175"/>
      <c r="K109" s="175"/>
      <c r="L109" s="176"/>
      <c r="M109" s="185"/>
      <c r="N109" s="185"/>
    </row>
    <row r="110" spans="1:16">
      <c r="A110" s="1928"/>
      <c r="B110" s="2056"/>
      <c r="C110" s="110">
        <v>2015</v>
      </c>
      <c r="D110" s="38"/>
      <c r="E110" s="177">
        <v>0</v>
      </c>
      <c r="F110" s="178">
        <v>0</v>
      </c>
      <c r="G110" s="178">
        <v>0</v>
      </c>
      <c r="H110" s="178">
        <v>0</v>
      </c>
      <c r="I110" s="178">
        <v>0</v>
      </c>
      <c r="J110" s="178">
        <v>0</v>
      </c>
      <c r="K110" s="178">
        <v>0</v>
      </c>
      <c r="L110" s="179">
        <v>0</v>
      </c>
      <c r="M110" s="185"/>
      <c r="N110" s="185"/>
    </row>
    <row r="111" spans="1:16">
      <c r="A111" s="1928"/>
      <c r="B111" s="2056"/>
      <c r="C111" s="110">
        <v>2016</v>
      </c>
      <c r="D111" s="91"/>
      <c r="E111" s="177">
        <v>0</v>
      </c>
      <c r="F111" s="178">
        <v>0</v>
      </c>
      <c r="G111" s="178">
        <v>0</v>
      </c>
      <c r="H111" s="178">
        <v>0</v>
      </c>
      <c r="I111" s="178">
        <v>0</v>
      </c>
      <c r="J111" s="178">
        <v>0</v>
      </c>
      <c r="K111" s="178">
        <v>0</v>
      </c>
      <c r="L111" s="551">
        <v>0</v>
      </c>
      <c r="M111" s="185"/>
      <c r="N111" s="185"/>
    </row>
    <row r="112" spans="1:16">
      <c r="A112" s="1928"/>
      <c r="B112" s="2056"/>
      <c r="C112" s="110">
        <v>2017</v>
      </c>
      <c r="D112" s="38"/>
      <c r="E112" s="177">
        <v>0</v>
      </c>
      <c r="F112" s="178">
        <v>0</v>
      </c>
      <c r="G112" s="178">
        <v>0</v>
      </c>
      <c r="H112" s="178">
        <v>0</v>
      </c>
      <c r="I112" s="178">
        <v>0</v>
      </c>
      <c r="J112" s="178">
        <v>0</v>
      </c>
      <c r="K112" s="178">
        <v>0</v>
      </c>
      <c r="L112" s="179">
        <v>0</v>
      </c>
      <c r="M112" s="185"/>
      <c r="N112" s="185"/>
    </row>
    <row r="113" spans="1:14">
      <c r="A113" s="1928"/>
      <c r="B113" s="2056"/>
      <c r="C113" s="110">
        <v>2018</v>
      </c>
      <c r="D113" s="38"/>
      <c r="E113" s="177"/>
      <c r="F113" s="178"/>
      <c r="G113" s="178"/>
      <c r="H113" s="178"/>
      <c r="I113" s="178"/>
      <c r="J113" s="178"/>
      <c r="K113" s="178"/>
      <c r="L113" s="179"/>
      <c r="M113" s="185"/>
      <c r="N113" s="185"/>
    </row>
    <row r="114" spans="1:14">
      <c r="A114" s="1928"/>
      <c r="B114" s="2056"/>
      <c r="C114" s="110">
        <v>2019</v>
      </c>
      <c r="D114" s="38"/>
      <c r="E114" s="177"/>
      <c r="F114" s="178"/>
      <c r="G114" s="178"/>
      <c r="H114" s="178"/>
      <c r="I114" s="178"/>
      <c r="J114" s="178"/>
      <c r="K114" s="178"/>
      <c r="L114" s="179"/>
      <c r="M114" s="185"/>
      <c r="N114" s="185"/>
    </row>
    <row r="115" spans="1:14">
      <c r="A115" s="1928"/>
      <c r="B115" s="2056"/>
      <c r="C115" s="110">
        <v>2020</v>
      </c>
      <c r="D115" s="38"/>
      <c r="E115" s="177"/>
      <c r="F115" s="178"/>
      <c r="G115" s="178"/>
      <c r="H115" s="178"/>
      <c r="I115" s="178"/>
      <c r="J115" s="178"/>
      <c r="K115" s="178"/>
      <c r="L115" s="179"/>
      <c r="M115" s="185"/>
      <c r="N115" s="185"/>
    </row>
    <row r="116" spans="1:14" ht="25.5" customHeight="1" thickBot="1">
      <c r="A116" s="2059"/>
      <c r="B116" s="2057"/>
      <c r="C116" s="113" t="s">
        <v>13</v>
      </c>
      <c r="D116" s="116">
        <f t="shared" ref="D116:I116" si="9">SUM(D109:D115)</f>
        <v>0</v>
      </c>
      <c r="E116" s="180">
        <f t="shared" si="9"/>
        <v>0</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051" t="s">
        <v>81</v>
      </c>
      <c r="B118" s="2052" t="s">
        <v>179</v>
      </c>
      <c r="C118" s="2058" t="s">
        <v>9</v>
      </c>
      <c r="D118" s="1926" t="s">
        <v>82</v>
      </c>
      <c r="E118" s="162" t="s">
        <v>79</v>
      </c>
      <c r="F118" s="549"/>
      <c r="G118" s="549"/>
      <c r="H118" s="549"/>
      <c r="I118" s="549"/>
      <c r="J118" s="549"/>
      <c r="K118" s="549"/>
      <c r="L118" s="550"/>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1898"/>
      <c r="B120" s="1899"/>
      <c r="C120" s="106">
        <v>2014</v>
      </c>
      <c r="D120" s="31"/>
      <c r="E120" s="174"/>
      <c r="F120" s="175"/>
      <c r="G120" s="175"/>
      <c r="H120" s="175"/>
      <c r="I120" s="175"/>
      <c r="J120" s="175"/>
      <c r="K120" s="175"/>
      <c r="L120" s="176"/>
      <c r="M120" s="185"/>
      <c r="N120" s="185"/>
    </row>
    <row r="121" spans="1:14">
      <c r="A121" s="1891"/>
      <c r="B121" s="1899"/>
      <c r="C121" s="110">
        <v>2015</v>
      </c>
      <c r="D121" s="38">
        <v>0</v>
      </c>
      <c r="E121" s="177">
        <v>0</v>
      </c>
      <c r="F121" s="178">
        <v>0</v>
      </c>
      <c r="G121" s="178">
        <v>0</v>
      </c>
      <c r="H121" s="178">
        <v>0</v>
      </c>
      <c r="I121" s="178">
        <v>0</v>
      </c>
      <c r="J121" s="178">
        <v>0</v>
      </c>
      <c r="K121" s="178">
        <v>0</v>
      </c>
      <c r="L121" s="179">
        <v>0</v>
      </c>
      <c r="M121" s="185"/>
      <c r="N121" s="185"/>
    </row>
    <row r="122" spans="1:14">
      <c r="A122" s="1891"/>
      <c r="B122" s="1899"/>
      <c r="C122" s="110">
        <v>2016</v>
      </c>
      <c r="D122" s="38">
        <v>0</v>
      </c>
      <c r="E122" s="177">
        <v>0</v>
      </c>
      <c r="F122" s="178">
        <v>0</v>
      </c>
      <c r="G122" s="178">
        <v>0</v>
      </c>
      <c r="H122" s="178">
        <v>0</v>
      </c>
      <c r="I122" s="178">
        <v>0</v>
      </c>
      <c r="J122" s="178">
        <v>0</v>
      </c>
      <c r="K122" s="178">
        <v>0</v>
      </c>
      <c r="L122" s="179">
        <v>0</v>
      </c>
      <c r="M122" s="185"/>
      <c r="N122" s="185"/>
    </row>
    <row r="123" spans="1:14">
      <c r="A123" s="1891"/>
      <c r="B123" s="1899"/>
      <c r="C123" s="110">
        <v>2017</v>
      </c>
      <c r="D123" s="38">
        <v>0</v>
      </c>
      <c r="E123" s="177">
        <v>0</v>
      </c>
      <c r="F123" s="178">
        <v>0</v>
      </c>
      <c r="G123" s="178">
        <v>0</v>
      </c>
      <c r="H123" s="178">
        <v>0</v>
      </c>
      <c r="I123" s="178">
        <v>0</v>
      </c>
      <c r="J123" s="178">
        <v>0</v>
      </c>
      <c r="K123" s="178">
        <v>0</v>
      </c>
      <c r="L123" s="179">
        <v>0</v>
      </c>
      <c r="M123" s="185"/>
      <c r="N123" s="185"/>
    </row>
    <row r="124" spans="1:14">
      <c r="A124" s="1891"/>
      <c r="B124" s="1899"/>
      <c r="C124" s="110">
        <v>2018</v>
      </c>
      <c r="D124" s="38"/>
      <c r="E124" s="177"/>
      <c r="F124" s="178"/>
      <c r="G124" s="178"/>
      <c r="H124" s="178"/>
      <c r="I124" s="178"/>
      <c r="J124" s="178"/>
      <c r="K124" s="178"/>
      <c r="L124" s="179"/>
      <c r="M124" s="185"/>
      <c r="N124" s="185"/>
    </row>
    <row r="125" spans="1:14">
      <c r="A125" s="1891"/>
      <c r="B125" s="1899"/>
      <c r="C125" s="110">
        <v>2019</v>
      </c>
      <c r="D125" s="38"/>
      <c r="E125" s="177"/>
      <c r="F125" s="178"/>
      <c r="G125" s="178"/>
      <c r="H125" s="178"/>
      <c r="I125" s="178"/>
      <c r="J125" s="178"/>
      <c r="K125" s="178"/>
      <c r="L125" s="179"/>
      <c r="M125" s="185"/>
      <c r="N125" s="185"/>
    </row>
    <row r="126" spans="1:14">
      <c r="A126" s="1891"/>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051" t="s">
        <v>84</v>
      </c>
      <c r="B129" s="2052" t="s">
        <v>179</v>
      </c>
      <c r="C129" s="552" t="s">
        <v>9</v>
      </c>
      <c r="D129" s="189" t="s">
        <v>85</v>
      </c>
      <c r="E129" s="553"/>
      <c r="F129" s="553"/>
      <c r="G129" s="191"/>
      <c r="H129" s="185"/>
      <c r="I129" s="185"/>
      <c r="J129" s="185"/>
      <c r="K129" s="185"/>
      <c r="L129" s="185"/>
      <c r="M129" s="185"/>
      <c r="N129" s="185"/>
    </row>
    <row r="130" spans="1:16" ht="77.25" customHeight="1">
      <c r="A130" s="1910"/>
      <c r="B130" s="1912"/>
      <c r="C130" s="192"/>
      <c r="D130" s="166" t="s">
        <v>86</v>
      </c>
      <c r="E130" s="193" t="s">
        <v>87</v>
      </c>
      <c r="F130" s="167" t="s">
        <v>88</v>
      </c>
      <c r="G130" s="194" t="s">
        <v>13</v>
      </c>
      <c r="H130" s="185"/>
      <c r="I130" s="185"/>
      <c r="J130" s="185"/>
      <c r="K130" s="185"/>
      <c r="L130" s="185"/>
      <c r="M130" s="185"/>
      <c r="N130" s="185"/>
    </row>
    <row r="131" spans="1:16" ht="15" customHeight="1">
      <c r="A131" s="2053"/>
      <c r="B131" s="2055" t="s">
        <v>247</v>
      </c>
      <c r="C131" s="106">
        <v>2015</v>
      </c>
      <c r="D131" s="30">
        <v>14</v>
      </c>
      <c r="E131" s="31"/>
      <c r="F131" s="31"/>
      <c r="G131" s="195">
        <f t="shared" ref="G131:G136" si="11">SUM(D131:F131)</f>
        <v>14</v>
      </c>
      <c r="H131" s="185"/>
      <c r="I131" s="185"/>
      <c r="J131" s="185"/>
      <c r="K131" s="185"/>
      <c r="L131" s="185"/>
      <c r="M131" s="185"/>
      <c r="N131" s="185"/>
    </row>
    <row r="132" spans="1:16">
      <c r="A132" s="2053"/>
      <c r="B132" s="2056"/>
      <c r="C132" s="110">
        <v>2016</v>
      </c>
      <c r="D132" s="90">
        <f>35+9+12+16</f>
        <v>72</v>
      </c>
      <c r="E132" s="38">
        <v>0</v>
      </c>
      <c r="F132" s="38">
        <v>0</v>
      </c>
      <c r="G132" s="195">
        <f t="shared" si="11"/>
        <v>72</v>
      </c>
      <c r="H132" s="185"/>
      <c r="I132" s="185"/>
      <c r="J132" s="185"/>
      <c r="K132" s="185"/>
      <c r="L132" s="185"/>
      <c r="M132" s="185"/>
      <c r="N132" s="185"/>
    </row>
    <row r="133" spans="1:16">
      <c r="A133" s="2053"/>
      <c r="B133" s="2056"/>
      <c r="C133" s="110">
        <v>2017</v>
      </c>
      <c r="D133" s="37">
        <f>38+73+11+11</f>
        <v>133</v>
      </c>
      <c r="E133" s="38">
        <v>0</v>
      </c>
      <c r="F133" s="38">
        <v>0</v>
      </c>
      <c r="G133" s="195">
        <f t="shared" si="11"/>
        <v>133</v>
      </c>
      <c r="H133" s="185"/>
      <c r="I133" s="185"/>
      <c r="J133" s="185"/>
      <c r="K133" s="185"/>
      <c r="L133" s="185"/>
      <c r="M133" s="185"/>
      <c r="N133" s="185"/>
    </row>
    <row r="134" spans="1:16">
      <c r="A134" s="2053"/>
      <c r="B134" s="2056"/>
      <c r="C134" s="110">
        <v>2018</v>
      </c>
      <c r="D134" s="37"/>
      <c r="E134" s="38"/>
      <c r="F134" s="38"/>
      <c r="G134" s="195">
        <f t="shared" si="11"/>
        <v>0</v>
      </c>
      <c r="H134" s="185"/>
      <c r="I134" s="185"/>
      <c r="J134" s="185"/>
      <c r="K134" s="185"/>
      <c r="L134" s="185"/>
      <c r="M134" s="185"/>
      <c r="N134" s="185"/>
    </row>
    <row r="135" spans="1:16">
      <c r="A135" s="2053"/>
      <c r="B135" s="2056"/>
      <c r="C135" s="110">
        <v>2019</v>
      </c>
      <c r="D135" s="37"/>
      <c r="E135" s="38"/>
      <c r="F135" s="38"/>
      <c r="G135" s="195">
        <f t="shared" si="11"/>
        <v>0</v>
      </c>
      <c r="H135" s="185"/>
      <c r="I135" s="185"/>
      <c r="J135" s="185"/>
      <c r="K135" s="185"/>
      <c r="L135" s="185"/>
      <c r="M135" s="185"/>
      <c r="N135" s="185"/>
    </row>
    <row r="136" spans="1:16">
      <c r="A136" s="2053"/>
      <c r="B136" s="2056"/>
      <c r="C136" s="110">
        <v>2020</v>
      </c>
      <c r="D136" s="37"/>
      <c r="E136" s="38"/>
      <c r="F136" s="38"/>
      <c r="G136" s="195">
        <f t="shared" si="11"/>
        <v>0</v>
      </c>
      <c r="H136" s="185"/>
      <c r="I136" s="185"/>
      <c r="J136" s="185"/>
      <c r="K136" s="185"/>
      <c r="L136" s="185"/>
      <c r="M136" s="185"/>
      <c r="N136" s="185"/>
    </row>
    <row r="137" spans="1:16" ht="48.75" customHeight="1" thickBot="1">
      <c r="A137" s="2054"/>
      <c r="B137" s="2057"/>
      <c r="C137" s="113" t="s">
        <v>13</v>
      </c>
      <c r="D137" s="139">
        <f>SUM(D131:D136)</f>
        <v>219</v>
      </c>
      <c r="E137" s="139">
        <f t="shared" ref="E137:F137" si="12">SUM(E131:E136)</f>
        <v>0</v>
      </c>
      <c r="F137" s="139">
        <f t="shared" si="12"/>
        <v>0</v>
      </c>
      <c r="G137" s="196">
        <f>SUM(G131:G136)</f>
        <v>219</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050" t="s">
        <v>91</v>
      </c>
      <c r="B142" s="2048" t="s">
        <v>179</v>
      </c>
      <c r="C142" s="2043" t="s">
        <v>9</v>
      </c>
      <c r="D142" s="554" t="s">
        <v>92</v>
      </c>
      <c r="E142" s="555"/>
      <c r="F142" s="555"/>
      <c r="G142" s="555"/>
      <c r="H142" s="555"/>
      <c r="I142" s="556"/>
      <c r="J142" s="2044" t="s">
        <v>93</v>
      </c>
      <c r="K142" s="2045"/>
      <c r="L142" s="2045"/>
      <c r="M142" s="2045"/>
      <c r="N142" s="2046"/>
      <c r="O142" s="165"/>
      <c r="P142" s="165"/>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c r="B144" s="1899"/>
      <c r="C144" s="106">
        <v>2014</v>
      </c>
      <c r="D144" s="30"/>
      <c r="E144" s="30"/>
      <c r="F144" s="31"/>
      <c r="G144" s="175"/>
      <c r="H144" s="175"/>
      <c r="I144" s="213">
        <f>D144+F144+G144+H144</f>
        <v>0</v>
      </c>
      <c r="J144" s="214"/>
      <c r="K144" s="215"/>
      <c r="L144" s="214"/>
      <c r="M144" s="215"/>
      <c r="N144" s="216"/>
      <c r="O144" s="165"/>
      <c r="P144" s="165"/>
    </row>
    <row r="145" spans="1:16" ht="19.5" customHeight="1">
      <c r="A145" s="1891"/>
      <c r="B145" s="1899"/>
      <c r="C145" s="110">
        <v>2015</v>
      </c>
      <c r="D145" s="37">
        <v>0</v>
      </c>
      <c r="E145" s="37">
        <v>0</v>
      </c>
      <c r="F145" s="38">
        <v>0</v>
      </c>
      <c r="G145" s="178">
        <v>0</v>
      </c>
      <c r="H145" s="178">
        <v>0</v>
      </c>
      <c r="I145" s="213">
        <f t="shared" ref="I145:I150" si="13">D145+F145+G145+H145</f>
        <v>0</v>
      </c>
      <c r="J145" s="217">
        <v>0</v>
      </c>
      <c r="K145" s="218">
        <v>0</v>
      </c>
      <c r="L145" s="217">
        <v>0</v>
      </c>
      <c r="M145" s="218">
        <v>0</v>
      </c>
      <c r="N145" s="219">
        <v>0</v>
      </c>
      <c r="O145" s="165"/>
      <c r="P145" s="165"/>
    </row>
    <row r="146" spans="1:16" ht="20.25" customHeight="1">
      <c r="A146" s="1891"/>
      <c r="B146" s="1899"/>
      <c r="C146" s="110">
        <v>2016</v>
      </c>
      <c r="D146" s="37">
        <v>0</v>
      </c>
      <c r="E146" s="37">
        <v>0</v>
      </c>
      <c r="F146" s="38">
        <v>0</v>
      </c>
      <c r="G146" s="178">
        <v>0</v>
      </c>
      <c r="H146" s="178">
        <v>0</v>
      </c>
      <c r="I146" s="213">
        <f t="shared" si="13"/>
        <v>0</v>
      </c>
      <c r="J146" s="217">
        <v>0</v>
      </c>
      <c r="K146" s="218">
        <v>0</v>
      </c>
      <c r="L146" s="217">
        <v>0</v>
      </c>
      <c r="M146" s="218">
        <v>0</v>
      </c>
      <c r="N146" s="219">
        <v>0</v>
      </c>
      <c r="O146" s="165"/>
      <c r="P146" s="165"/>
    </row>
    <row r="147" spans="1:16" ht="17.25" customHeight="1">
      <c r="A147" s="1891"/>
      <c r="B147" s="1899"/>
      <c r="C147" s="110">
        <v>2017</v>
      </c>
      <c r="D147" s="37">
        <v>0</v>
      </c>
      <c r="E147" s="37">
        <v>0</v>
      </c>
      <c r="F147" s="38">
        <v>0</v>
      </c>
      <c r="G147" s="178">
        <v>0</v>
      </c>
      <c r="H147" s="178">
        <v>0</v>
      </c>
      <c r="I147" s="213">
        <f t="shared" si="13"/>
        <v>0</v>
      </c>
      <c r="J147" s="217">
        <v>0</v>
      </c>
      <c r="K147" s="218">
        <v>0</v>
      </c>
      <c r="L147" s="217">
        <v>0</v>
      </c>
      <c r="M147" s="218">
        <v>0</v>
      </c>
      <c r="N147" s="219">
        <v>0</v>
      </c>
      <c r="O147" s="165"/>
      <c r="P147" s="165"/>
    </row>
    <row r="148" spans="1:16" ht="19.5" customHeight="1">
      <c r="A148" s="1891"/>
      <c r="B148" s="1899"/>
      <c r="C148" s="110">
        <v>2018</v>
      </c>
      <c r="D148" s="37"/>
      <c r="E148" s="37"/>
      <c r="F148" s="38"/>
      <c r="G148" s="178"/>
      <c r="H148" s="178"/>
      <c r="I148" s="213">
        <f t="shared" si="13"/>
        <v>0</v>
      </c>
      <c r="J148" s="217"/>
      <c r="K148" s="218"/>
      <c r="L148" s="217"/>
      <c r="M148" s="218"/>
      <c r="N148" s="219"/>
      <c r="O148" s="165"/>
      <c r="P148" s="165"/>
    </row>
    <row r="149" spans="1:16" ht="19.5" customHeight="1">
      <c r="A149" s="1891"/>
      <c r="B149" s="1899"/>
      <c r="C149" s="110">
        <v>2019</v>
      </c>
      <c r="D149" s="37"/>
      <c r="E149" s="37"/>
      <c r="F149" s="38"/>
      <c r="G149" s="178"/>
      <c r="H149" s="178"/>
      <c r="I149" s="213">
        <f t="shared" si="13"/>
        <v>0</v>
      </c>
      <c r="J149" s="217"/>
      <c r="K149" s="218"/>
      <c r="L149" s="217"/>
      <c r="M149" s="218"/>
      <c r="N149" s="219"/>
      <c r="O149" s="165"/>
      <c r="P149" s="165"/>
    </row>
    <row r="150" spans="1:16" ht="18.75" customHeight="1">
      <c r="A150" s="1891"/>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2047" t="s">
        <v>105</v>
      </c>
      <c r="B153" s="2048" t="s">
        <v>179</v>
      </c>
      <c r="C153" s="2049" t="s">
        <v>9</v>
      </c>
      <c r="D153" s="557" t="s">
        <v>106</v>
      </c>
      <c r="E153" s="557"/>
      <c r="F153" s="558"/>
      <c r="G153" s="558"/>
      <c r="H153" s="557" t="s">
        <v>107</v>
      </c>
      <c r="I153" s="557"/>
      <c r="J153" s="559"/>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1898"/>
      <c r="B155" s="1899"/>
      <c r="C155" s="233">
        <v>2014</v>
      </c>
      <c r="D155" s="214"/>
      <c r="E155" s="175"/>
      <c r="F155" s="215"/>
      <c r="G155" s="213">
        <f>SUM(D155:F155)</f>
        <v>0</v>
      </c>
      <c r="H155" s="214"/>
      <c r="I155" s="175"/>
      <c r="J155" s="176"/>
      <c r="O155" s="165"/>
      <c r="P155" s="165"/>
    </row>
    <row r="156" spans="1:16" ht="19.5" customHeight="1">
      <c r="A156" s="1891"/>
      <c r="B156" s="1899"/>
      <c r="C156" s="234">
        <v>2015</v>
      </c>
      <c r="D156" s="217">
        <v>0</v>
      </c>
      <c r="E156" s="178">
        <v>0</v>
      </c>
      <c r="F156" s="218">
        <v>0</v>
      </c>
      <c r="G156" s="213">
        <f t="shared" ref="G156:G161" si="15">SUM(D156:F156)</f>
        <v>0</v>
      </c>
      <c r="H156" s="217">
        <v>0</v>
      </c>
      <c r="I156" s="178">
        <v>0</v>
      </c>
      <c r="J156" s="179">
        <v>0</v>
      </c>
      <c r="O156" s="165"/>
      <c r="P156" s="165"/>
    </row>
    <row r="157" spans="1:16" ht="17.25" customHeight="1">
      <c r="A157" s="1891"/>
      <c r="B157" s="1899"/>
      <c r="C157" s="234">
        <v>2016</v>
      </c>
      <c r="D157" s="217">
        <v>0</v>
      </c>
      <c r="E157" s="178">
        <v>0</v>
      </c>
      <c r="F157" s="218">
        <v>0</v>
      </c>
      <c r="G157" s="213">
        <f t="shared" si="15"/>
        <v>0</v>
      </c>
      <c r="H157" s="217">
        <v>0</v>
      </c>
      <c r="I157" s="178">
        <v>0</v>
      </c>
      <c r="J157" s="179">
        <v>0</v>
      </c>
      <c r="O157" s="165"/>
      <c r="P157" s="165"/>
    </row>
    <row r="158" spans="1:16" ht="15" customHeight="1">
      <c r="A158" s="1891"/>
      <c r="B158" s="1899"/>
      <c r="C158" s="234">
        <v>2017</v>
      </c>
      <c r="D158" s="217">
        <v>0</v>
      </c>
      <c r="E158" s="178">
        <v>0</v>
      </c>
      <c r="F158" s="218">
        <v>0</v>
      </c>
      <c r="G158" s="213">
        <f t="shared" si="15"/>
        <v>0</v>
      </c>
      <c r="H158" s="217">
        <v>0</v>
      </c>
      <c r="I158" s="178">
        <v>0</v>
      </c>
      <c r="J158" s="179">
        <v>0</v>
      </c>
      <c r="O158" s="165"/>
      <c r="P158" s="165"/>
    </row>
    <row r="159" spans="1:16" ht="19.5" customHeight="1">
      <c r="A159" s="1891"/>
      <c r="B159" s="1899"/>
      <c r="C159" s="234">
        <v>2018</v>
      </c>
      <c r="D159" s="217"/>
      <c r="E159" s="178"/>
      <c r="F159" s="218"/>
      <c r="G159" s="213">
        <f t="shared" si="15"/>
        <v>0</v>
      </c>
      <c r="H159" s="217"/>
      <c r="I159" s="178"/>
      <c r="J159" s="179"/>
      <c r="O159" s="165"/>
      <c r="P159" s="165"/>
    </row>
    <row r="160" spans="1:16" ht="15" customHeight="1">
      <c r="A160" s="1891"/>
      <c r="B160" s="1899"/>
      <c r="C160" s="234">
        <v>2019</v>
      </c>
      <c r="D160" s="217"/>
      <c r="E160" s="178"/>
      <c r="F160" s="218"/>
      <c r="G160" s="213">
        <f t="shared" si="15"/>
        <v>0</v>
      </c>
      <c r="H160" s="217"/>
      <c r="I160" s="178"/>
      <c r="J160" s="179"/>
      <c r="O160" s="165"/>
      <c r="P160" s="165"/>
    </row>
    <row r="161" spans="1:18" ht="17.25" customHeight="1">
      <c r="A161" s="1891"/>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560"/>
      <c r="F163" s="165"/>
      <c r="G163" s="165"/>
      <c r="H163" s="165"/>
      <c r="I163" s="165"/>
      <c r="J163" s="241"/>
      <c r="K163" s="242"/>
    </row>
    <row r="164" spans="1:18" ht="95.25" customHeight="1">
      <c r="A164" s="243" t="s">
        <v>115</v>
      </c>
      <c r="B164" s="405" t="s">
        <v>181</v>
      </c>
      <c r="C164" s="245" t="s">
        <v>9</v>
      </c>
      <c r="D164" s="246" t="s">
        <v>117</v>
      </c>
      <c r="E164" s="246" t="s">
        <v>118</v>
      </c>
      <c r="F164" s="561" t="s">
        <v>119</v>
      </c>
      <c r="G164" s="246" t="s">
        <v>120</v>
      </c>
      <c r="H164" s="246" t="s">
        <v>121</v>
      </c>
      <c r="I164" s="248" t="s">
        <v>122</v>
      </c>
      <c r="J164" s="249" t="s">
        <v>123</v>
      </c>
      <c r="K164" s="249" t="s">
        <v>124</v>
      </c>
      <c r="L164" s="406"/>
    </row>
    <row r="165" spans="1:18" ht="15.75" customHeight="1">
      <c r="A165" s="1878"/>
      <c r="B165" s="1879"/>
      <c r="C165" s="251">
        <v>2014</v>
      </c>
      <c r="D165" s="175"/>
      <c r="E165" s="175"/>
      <c r="F165" s="175"/>
      <c r="G165" s="175"/>
      <c r="H165" s="175"/>
      <c r="I165" s="176"/>
      <c r="J165" s="252">
        <f>SUM(D165,F165,H165)</f>
        <v>0</v>
      </c>
      <c r="K165" s="253">
        <f>SUM(E165,G165,I165)</f>
        <v>0</v>
      </c>
      <c r="L165" s="406"/>
    </row>
    <row r="166" spans="1:18">
      <c r="A166" s="1880"/>
      <c r="B166" s="1881"/>
      <c r="C166" s="254">
        <v>2015</v>
      </c>
      <c r="D166" s="255">
        <v>0</v>
      </c>
      <c r="E166" s="255">
        <v>0</v>
      </c>
      <c r="F166" s="255">
        <v>0</v>
      </c>
      <c r="G166" s="255">
        <v>0</v>
      </c>
      <c r="H166" s="255">
        <v>0</v>
      </c>
      <c r="I166" s="256">
        <v>0</v>
      </c>
      <c r="J166" s="407">
        <f t="shared" ref="J166:K171" si="17">SUM(D166,F166,H166)</f>
        <v>0</v>
      </c>
      <c r="K166" s="408">
        <f t="shared" si="17"/>
        <v>0</v>
      </c>
      <c r="L166" s="406"/>
    </row>
    <row r="167" spans="1:18">
      <c r="A167" s="1880"/>
      <c r="B167" s="1881"/>
      <c r="C167" s="254">
        <v>2016</v>
      </c>
      <c r="D167" s="255">
        <v>0</v>
      </c>
      <c r="E167" s="255">
        <v>0</v>
      </c>
      <c r="F167" s="255">
        <v>0</v>
      </c>
      <c r="G167" s="255">
        <v>0</v>
      </c>
      <c r="H167" s="255">
        <v>0</v>
      </c>
      <c r="I167" s="256">
        <v>0</v>
      </c>
      <c r="J167" s="407">
        <f t="shared" si="17"/>
        <v>0</v>
      </c>
      <c r="K167" s="408">
        <f t="shared" si="17"/>
        <v>0</v>
      </c>
    </row>
    <row r="168" spans="1:18">
      <c r="A168" s="1880"/>
      <c r="B168" s="1881"/>
      <c r="C168" s="254">
        <v>2017</v>
      </c>
      <c r="D168" s="255">
        <v>0</v>
      </c>
      <c r="E168" s="165">
        <v>0</v>
      </c>
      <c r="F168" s="255">
        <v>0</v>
      </c>
      <c r="G168" s="255">
        <v>0</v>
      </c>
      <c r="H168" s="255">
        <v>0</v>
      </c>
      <c r="I168" s="256">
        <v>0</v>
      </c>
      <c r="J168" s="407">
        <f t="shared" si="17"/>
        <v>0</v>
      </c>
      <c r="K168" s="408">
        <f t="shared" si="17"/>
        <v>0</v>
      </c>
    </row>
    <row r="169" spans="1:18">
      <c r="A169" s="1880"/>
      <c r="B169" s="1881"/>
      <c r="C169" s="262">
        <v>2018</v>
      </c>
      <c r="D169" s="255"/>
      <c r="E169" s="255"/>
      <c r="F169" s="255"/>
      <c r="G169" s="263"/>
      <c r="H169" s="255"/>
      <c r="I169" s="256"/>
      <c r="J169" s="407">
        <f t="shared" si="17"/>
        <v>0</v>
      </c>
      <c r="K169" s="408">
        <f t="shared" si="17"/>
        <v>0</v>
      </c>
      <c r="L169" s="406"/>
    </row>
    <row r="170" spans="1:18">
      <c r="A170" s="1880"/>
      <c r="B170" s="1881"/>
      <c r="C170" s="254">
        <v>2019</v>
      </c>
      <c r="D170" s="165"/>
      <c r="E170" s="255"/>
      <c r="F170" s="255"/>
      <c r="G170" s="255"/>
      <c r="H170" s="263"/>
      <c r="I170" s="256"/>
      <c r="J170" s="407">
        <f t="shared" si="17"/>
        <v>0</v>
      </c>
      <c r="K170" s="408">
        <f t="shared" si="17"/>
        <v>0</v>
      </c>
      <c r="L170" s="406"/>
    </row>
    <row r="171" spans="1:18">
      <c r="A171" s="1880"/>
      <c r="B171" s="1881"/>
      <c r="C171" s="262">
        <v>2020</v>
      </c>
      <c r="D171" s="255"/>
      <c r="E171" s="255"/>
      <c r="F171" s="255"/>
      <c r="G171" s="255"/>
      <c r="H171" s="255"/>
      <c r="I171" s="256"/>
      <c r="J171" s="407">
        <f t="shared" si="17"/>
        <v>0</v>
      </c>
      <c r="K171" s="408">
        <f t="shared" si="17"/>
        <v>0</v>
      </c>
      <c r="L171" s="406"/>
    </row>
    <row r="172" spans="1:18" ht="41.25" customHeight="1" thickBot="1">
      <c r="A172" s="1882"/>
      <c r="B172" s="1883"/>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406"/>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039" t="s">
        <v>127</v>
      </c>
      <c r="B176" s="2037" t="s">
        <v>182</v>
      </c>
      <c r="C176" s="2040" t="s">
        <v>9</v>
      </c>
      <c r="D176" s="273" t="s">
        <v>128</v>
      </c>
      <c r="E176" s="562"/>
      <c r="F176" s="562"/>
      <c r="G176" s="563"/>
      <c r="H176" s="276"/>
      <c r="I176" s="1888" t="s">
        <v>129</v>
      </c>
      <c r="J176" s="2041"/>
      <c r="K176" s="2041"/>
      <c r="L176" s="2041"/>
      <c r="M176" s="2041"/>
      <c r="N176" s="2041"/>
      <c r="O176" s="2042"/>
    </row>
    <row r="177" spans="1:15" s="56" customFormat="1" ht="129.7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564"/>
      <c r="B178" s="2034" t="s">
        <v>248</v>
      </c>
      <c r="C178" s="106">
        <v>2014</v>
      </c>
      <c r="D178" s="30"/>
      <c r="E178" s="31"/>
      <c r="F178" s="31"/>
      <c r="G178" s="284">
        <f>SUM(D178:F178)</f>
        <v>0</v>
      </c>
      <c r="H178" s="155"/>
      <c r="I178" s="155"/>
      <c r="J178" s="31"/>
      <c r="K178" s="31"/>
      <c r="L178" s="31"/>
      <c r="M178" s="31"/>
      <c r="N178" s="31"/>
      <c r="O178" s="34"/>
    </row>
    <row r="179" spans="1:15">
      <c r="A179" s="564"/>
      <c r="B179" s="2035"/>
      <c r="C179" s="110">
        <v>2015</v>
      </c>
      <c r="D179" s="37">
        <v>3</v>
      </c>
      <c r="E179" s="38">
        <v>0</v>
      </c>
      <c r="F179" s="38">
        <v>0</v>
      </c>
      <c r="G179" s="284">
        <f t="shared" ref="G179:G184" si="19">SUM(D179:F179)</f>
        <v>3</v>
      </c>
      <c r="H179" s="411">
        <v>3</v>
      </c>
      <c r="I179" s="112">
        <v>0</v>
      </c>
      <c r="J179" s="38">
        <v>0</v>
      </c>
      <c r="K179" s="38">
        <v>0</v>
      </c>
      <c r="L179" s="38">
        <v>0</v>
      </c>
      <c r="M179" s="38">
        <v>2</v>
      </c>
      <c r="N179" s="38">
        <v>0</v>
      </c>
      <c r="O179" s="88">
        <v>1</v>
      </c>
    </row>
    <row r="180" spans="1:15">
      <c r="A180" s="564"/>
      <c r="B180" s="2035"/>
      <c r="C180" s="110">
        <v>2016</v>
      </c>
      <c r="D180" s="37">
        <v>48</v>
      </c>
      <c r="E180" s="38">
        <v>2</v>
      </c>
      <c r="F180" s="38">
        <v>0</v>
      </c>
      <c r="G180" s="284">
        <f t="shared" si="19"/>
        <v>50</v>
      </c>
      <c r="H180" s="411">
        <v>50</v>
      </c>
      <c r="I180" s="112">
        <v>0</v>
      </c>
      <c r="J180" s="38">
        <v>44</v>
      </c>
      <c r="K180" s="38">
        <v>0</v>
      </c>
      <c r="L180" s="38">
        <v>0</v>
      </c>
      <c r="M180" s="527">
        <v>6</v>
      </c>
      <c r="N180" s="527">
        <v>0</v>
      </c>
      <c r="O180" s="543">
        <v>0</v>
      </c>
    </row>
    <row r="181" spans="1:15">
      <c r="A181" s="564"/>
      <c r="B181" s="2035"/>
      <c r="C181" s="110">
        <v>2017</v>
      </c>
      <c r="D181" s="37">
        <f>23+9+30</f>
        <v>62</v>
      </c>
      <c r="E181" s="38">
        <v>2</v>
      </c>
      <c r="F181" s="38">
        <v>0</v>
      </c>
      <c r="G181" s="284">
        <f t="shared" si="19"/>
        <v>64</v>
      </c>
      <c r="H181" s="411">
        <f>32+43</f>
        <v>75</v>
      </c>
      <c r="I181" s="112">
        <f>1+3</f>
        <v>4</v>
      </c>
      <c r="J181" s="38">
        <v>27</v>
      </c>
      <c r="K181" s="38">
        <v>0</v>
      </c>
      <c r="L181" s="38">
        <f>9+1</f>
        <v>10</v>
      </c>
      <c r="M181" s="527">
        <v>23</v>
      </c>
      <c r="N181" s="527">
        <v>0</v>
      </c>
      <c r="O181" s="543">
        <v>0</v>
      </c>
    </row>
    <row r="182" spans="1:15">
      <c r="A182" s="564"/>
      <c r="B182" s="2035"/>
      <c r="C182" s="110">
        <v>2018</v>
      </c>
      <c r="D182" s="37"/>
      <c r="E182" s="38"/>
      <c r="F182" s="38"/>
      <c r="G182" s="284">
        <f t="shared" si="19"/>
        <v>0</v>
      </c>
      <c r="H182" s="411"/>
      <c r="I182" s="112"/>
      <c r="J182" s="38"/>
      <c r="K182" s="38"/>
      <c r="L182" s="38"/>
      <c r="M182" s="527"/>
      <c r="N182" s="527"/>
      <c r="O182" s="543"/>
    </row>
    <row r="183" spans="1:15">
      <c r="A183" s="564"/>
      <c r="B183" s="2035"/>
      <c r="C183" s="110">
        <v>2019</v>
      </c>
      <c r="D183" s="37"/>
      <c r="E183" s="38"/>
      <c r="F183" s="38"/>
      <c r="G183" s="284">
        <f t="shared" si="19"/>
        <v>0</v>
      </c>
      <c r="H183" s="411"/>
      <c r="I183" s="112"/>
      <c r="J183" s="38"/>
      <c r="K183" s="38"/>
      <c r="L183" s="38"/>
      <c r="M183" s="527"/>
      <c r="N183" s="527"/>
      <c r="O183" s="543"/>
    </row>
    <row r="184" spans="1:15">
      <c r="A184" s="564"/>
      <c r="B184" s="2035"/>
      <c r="C184" s="110">
        <v>2020</v>
      </c>
      <c r="D184" s="37"/>
      <c r="E184" s="38"/>
      <c r="F184" s="38"/>
      <c r="G184" s="284">
        <f t="shared" si="19"/>
        <v>0</v>
      </c>
      <c r="H184" s="411"/>
      <c r="I184" s="112"/>
      <c r="J184" s="38"/>
      <c r="K184" s="38"/>
      <c r="L184" s="38"/>
      <c r="M184" s="527"/>
      <c r="N184" s="527"/>
      <c r="O184" s="543"/>
    </row>
    <row r="185" spans="1:15" ht="87.75" customHeight="1" thickBot="1">
      <c r="A185" s="565"/>
      <c r="B185" s="2036"/>
      <c r="C185" s="113" t="s">
        <v>13</v>
      </c>
      <c r="D185" s="139">
        <f>SUM(D178:D184)</f>
        <v>113</v>
      </c>
      <c r="E185" s="116">
        <f>SUM(E178:E184)</f>
        <v>4</v>
      </c>
      <c r="F185" s="116">
        <f>SUM(F178:F184)</f>
        <v>0</v>
      </c>
      <c r="G185" s="220">
        <f t="shared" ref="G185:O185" si="20">SUM(G178:G184)</f>
        <v>117</v>
      </c>
      <c r="H185" s="285">
        <f t="shared" si="20"/>
        <v>128</v>
      </c>
      <c r="I185" s="115">
        <f t="shared" si="20"/>
        <v>4</v>
      </c>
      <c r="J185" s="116">
        <f t="shared" si="20"/>
        <v>71</v>
      </c>
      <c r="K185" s="116">
        <f t="shared" si="20"/>
        <v>0</v>
      </c>
      <c r="L185" s="116">
        <f t="shared" si="20"/>
        <v>10</v>
      </c>
      <c r="M185" s="545">
        <f t="shared" si="20"/>
        <v>31</v>
      </c>
      <c r="N185" s="545">
        <f t="shared" si="20"/>
        <v>0</v>
      </c>
      <c r="O185" s="546">
        <f t="shared" si="20"/>
        <v>1</v>
      </c>
    </row>
    <row r="186" spans="1:15" ht="33" customHeight="1" thickBot="1"/>
    <row r="187" spans="1:15" ht="19.5" customHeight="1">
      <c r="A187" s="1861" t="s">
        <v>137</v>
      </c>
      <c r="B187" s="2037" t="s">
        <v>182</v>
      </c>
      <c r="C187" s="1865" t="s">
        <v>9</v>
      </c>
      <c r="D187" s="1867" t="s">
        <v>138</v>
      </c>
      <c r="E187" s="2038"/>
      <c r="F187" s="2038"/>
      <c r="G187" s="1869"/>
      <c r="H187" s="1870"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566"/>
      <c r="B189" s="2031" t="s">
        <v>249</v>
      </c>
      <c r="C189" s="290">
        <v>2014</v>
      </c>
      <c r="D189" s="133"/>
      <c r="E189" s="109"/>
      <c r="F189" s="109"/>
      <c r="G189" s="291">
        <f>SUM(D189:F189)</f>
        <v>0</v>
      </c>
      <c r="H189" s="108"/>
      <c r="I189" s="109"/>
      <c r="J189" s="109"/>
      <c r="K189" s="109"/>
      <c r="L189" s="134"/>
    </row>
    <row r="190" spans="1:15">
      <c r="A190" s="567"/>
      <c r="B190" s="2032"/>
      <c r="C190" s="73">
        <v>2015</v>
      </c>
      <c r="D190" s="395">
        <f>142+138</f>
        <v>280</v>
      </c>
      <c r="E190" s="38">
        <v>0</v>
      </c>
      <c r="F190" s="38">
        <v>0</v>
      </c>
      <c r="G190" s="291">
        <f t="shared" ref="G190:G195" si="21">SUM(D190:F190)</f>
        <v>280</v>
      </c>
      <c r="H190" s="112">
        <v>0</v>
      </c>
      <c r="I190" s="339">
        <v>142</v>
      </c>
      <c r="J190" s="38">
        <v>0</v>
      </c>
      <c r="K190" s="38">
        <v>0</v>
      </c>
      <c r="L190" s="340">
        <v>138</v>
      </c>
    </row>
    <row r="191" spans="1:15">
      <c r="A191" s="567"/>
      <c r="B191" s="2032"/>
      <c r="C191" s="73">
        <v>2016</v>
      </c>
      <c r="D191" s="37">
        <f>961+622+83</f>
        <v>1666</v>
      </c>
      <c r="E191" s="38">
        <v>54</v>
      </c>
      <c r="F191" s="38">
        <v>0</v>
      </c>
      <c r="G191" s="291">
        <f t="shared" si="21"/>
        <v>1720</v>
      </c>
      <c r="H191" s="112">
        <v>0</v>
      </c>
      <c r="I191" s="38">
        <v>357</v>
      </c>
      <c r="J191" s="38">
        <v>0</v>
      </c>
      <c r="K191" s="38">
        <v>0</v>
      </c>
      <c r="L191" s="88">
        <f>1309+54</f>
        <v>1363</v>
      </c>
    </row>
    <row r="192" spans="1:15">
      <c r="A192" s="567"/>
      <c r="B192" s="2032"/>
      <c r="C192" s="73">
        <v>2017</v>
      </c>
      <c r="D192" s="37">
        <f>1124+612</f>
        <v>1736</v>
      </c>
      <c r="E192" s="38">
        <v>0</v>
      </c>
      <c r="F192" s="38">
        <v>0</v>
      </c>
      <c r="G192" s="291">
        <f t="shared" si="21"/>
        <v>1736</v>
      </c>
      <c r="H192" s="112">
        <v>0</v>
      </c>
      <c r="I192" s="38">
        <v>784</v>
      </c>
      <c r="J192" s="38">
        <v>0</v>
      </c>
      <c r="K192" s="38">
        <v>0</v>
      </c>
      <c r="L192" s="88">
        <f>340+612</f>
        <v>952</v>
      </c>
    </row>
    <row r="193" spans="1:14">
      <c r="A193" s="567"/>
      <c r="B193" s="2032"/>
      <c r="C193" s="73">
        <v>2018</v>
      </c>
      <c r="D193" s="37"/>
      <c r="E193" s="38"/>
      <c r="F193" s="38"/>
      <c r="G193" s="291">
        <f t="shared" si="21"/>
        <v>0</v>
      </c>
      <c r="H193" s="112"/>
      <c r="I193" s="38"/>
      <c r="J193" s="38"/>
      <c r="K193" s="38"/>
      <c r="L193" s="88"/>
    </row>
    <row r="194" spans="1:14">
      <c r="A194" s="567"/>
      <c r="B194" s="2032"/>
      <c r="C194" s="73">
        <v>2019</v>
      </c>
      <c r="D194" s="37"/>
      <c r="E194" s="38"/>
      <c r="F194" s="38"/>
      <c r="G194" s="291">
        <f t="shared" si="21"/>
        <v>0</v>
      </c>
      <c r="H194" s="112"/>
      <c r="I194" s="38"/>
      <c r="J194" s="38"/>
      <c r="K194" s="38"/>
      <c r="L194" s="88"/>
    </row>
    <row r="195" spans="1:14">
      <c r="A195" s="567"/>
      <c r="B195" s="2032"/>
      <c r="C195" s="73">
        <v>2020</v>
      </c>
      <c r="D195" s="37"/>
      <c r="E195" s="38"/>
      <c r="F195" s="38"/>
      <c r="G195" s="291">
        <f t="shared" si="21"/>
        <v>0</v>
      </c>
      <c r="H195" s="112"/>
      <c r="I195" s="38"/>
      <c r="J195" s="38"/>
      <c r="K195" s="38"/>
      <c r="L195" s="88"/>
    </row>
    <row r="196" spans="1:14" ht="62.25" customHeight="1" thickBot="1">
      <c r="A196" s="568"/>
      <c r="B196" s="2033"/>
      <c r="C196" s="136" t="s">
        <v>13</v>
      </c>
      <c r="D196" s="139">
        <f t="shared" ref="D196:L196" si="22">SUM(D189:D195)</f>
        <v>3682</v>
      </c>
      <c r="E196" s="116">
        <f t="shared" si="22"/>
        <v>54</v>
      </c>
      <c r="F196" s="116">
        <f t="shared" si="22"/>
        <v>0</v>
      </c>
      <c r="G196" s="292">
        <f t="shared" si="22"/>
        <v>3736</v>
      </c>
      <c r="H196" s="115">
        <f t="shared" si="22"/>
        <v>0</v>
      </c>
      <c r="I196" s="116">
        <f t="shared" si="22"/>
        <v>1283</v>
      </c>
      <c r="J196" s="116">
        <f t="shared" si="22"/>
        <v>0</v>
      </c>
      <c r="K196" s="116">
        <f t="shared" si="22"/>
        <v>0</v>
      </c>
      <c r="L196" s="117">
        <f t="shared" si="22"/>
        <v>2453</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569" t="s">
        <v>150</v>
      </c>
      <c r="B201" s="417" t="s">
        <v>182</v>
      </c>
      <c r="C201" s="298" t="s">
        <v>9</v>
      </c>
      <c r="D201" s="299" t="s">
        <v>151</v>
      </c>
      <c r="E201" s="300" t="s">
        <v>152</v>
      </c>
      <c r="F201" s="300" t="s">
        <v>153</v>
      </c>
      <c r="G201" s="298" t="s">
        <v>154</v>
      </c>
      <c r="H201" s="570" t="s">
        <v>155</v>
      </c>
      <c r="I201" s="302" t="s">
        <v>156</v>
      </c>
      <c r="J201" s="303" t="s">
        <v>157</v>
      </c>
      <c r="K201" s="300" t="s">
        <v>158</v>
      </c>
      <c r="L201" s="304" t="s">
        <v>159</v>
      </c>
    </row>
    <row r="202" spans="1:14" ht="15" customHeight="1">
      <c r="A202" s="1854"/>
      <c r="B202" s="1855"/>
      <c r="C202" s="72">
        <v>2014</v>
      </c>
      <c r="D202" s="30"/>
      <c r="E202" s="31"/>
      <c r="F202" s="31"/>
      <c r="G202" s="29"/>
      <c r="H202" s="305"/>
      <c r="I202" s="306"/>
      <c r="J202" s="307"/>
      <c r="K202" s="31"/>
      <c r="L202" s="34"/>
    </row>
    <row r="203" spans="1:14">
      <c r="A203" s="1854"/>
      <c r="B203" s="1855"/>
      <c r="C203" s="73">
        <v>2015</v>
      </c>
      <c r="D203" s="37">
        <v>0</v>
      </c>
      <c r="E203" s="38">
        <v>0</v>
      </c>
      <c r="F203" s="38">
        <v>0</v>
      </c>
      <c r="G203" s="36">
        <v>0</v>
      </c>
      <c r="H203" s="308">
        <v>0</v>
      </c>
      <c r="I203" s="309">
        <v>0</v>
      </c>
      <c r="J203" s="310">
        <v>0</v>
      </c>
      <c r="K203" s="38">
        <v>0</v>
      </c>
      <c r="L203" s="88">
        <v>0</v>
      </c>
    </row>
    <row r="204" spans="1:14">
      <c r="A204" s="1854"/>
      <c r="B204" s="1855"/>
      <c r="C204" s="73">
        <v>2016</v>
      </c>
      <c r="D204" s="37">
        <v>0</v>
      </c>
      <c r="E204" s="38">
        <v>0</v>
      </c>
      <c r="F204" s="38">
        <v>0</v>
      </c>
      <c r="G204" s="36">
        <v>0</v>
      </c>
      <c r="H204" s="308">
        <v>0</v>
      </c>
      <c r="I204" s="309">
        <v>0</v>
      </c>
      <c r="J204" s="310">
        <v>0</v>
      </c>
      <c r="K204" s="38">
        <v>0</v>
      </c>
      <c r="L204" s="88">
        <v>0</v>
      </c>
    </row>
    <row r="205" spans="1:14">
      <c r="A205" s="1854"/>
      <c r="B205" s="1855"/>
      <c r="C205" s="73">
        <v>2017</v>
      </c>
      <c r="D205" s="37">
        <v>0</v>
      </c>
      <c r="E205" s="38">
        <v>0</v>
      </c>
      <c r="F205" s="38">
        <v>0</v>
      </c>
      <c r="G205" s="36">
        <v>0</v>
      </c>
      <c r="H205" s="308">
        <v>0</v>
      </c>
      <c r="I205" s="309">
        <v>0</v>
      </c>
      <c r="J205" s="310">
        <v>0</v>
      </c>
      <c r="K205" s="38">
        <v>0</v>
      </c>
      <c r="L205" s="88">
        <v>0</v>
      </c>
    </row>
    <row r="206" spans="1:14">
      <c r="A206" s="1854"/>
      <c r="B206" s="1855"/>
      <c r="C206" s="73">
        <v>2018</v>
      </c>
      <c r="D206" s="37"/>
      <c r="E206" s="38"/>
      <c r="F206" s="38"/>
      <c r="G206" s="36"/>
      <c r="H206" s="308"/>
      <c r="I206" s="309"/>
      <c r="J206" s="310"/>
      <c r="K206" s="38"/>
      <c r="L206" s="88"/>
    </row>
    <row r="207" spans="1:14">
      <c r="A207" s="1854"/>
      <c r="B207" s="1855"/>
      <c r="C207" s="73">
        <v>2019</v>
      </c>
      <c r="D207" s="37"/>
      <c r="E207" s="38"/>
      <c r="F207" s="38"/>
      <c r="G207" s="36"/>
      <c r="H207" s="308"/>
      <c r="I207" s="309"/>
      <c r="J207" s="310"/>
      <c r="K207" s="38"/>
      <c r="L207" s="88"/>
    </row>
    <row r="208" spans="1:14">
      <c r="A208" s="1854"/>
      <c r="B208" s="1855"/>
      <c r="C208" s="73">
        <v>2020</v>
      </c>
      <c r="D208" s="311"/>
      <c r="E208" s="312"/>
      <c r="F208" s="312"/>
      <c r="G208" s="313"/>
      <c r="H208" s="314"/>
      <c r="I208" s="315"/>
      <c r="J208" s="316"/>
      <c r="K208" s="312"/>
      <c r="L208" s="317"/>
    </row>
    <row r="209" spans="1:12" ht="20.25" customHeight="1" thickBot="1">
      <c r="A209" s="1856"/>
      <c r="B209" s="1857"/>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0</v>
      </c>
      <c r="K209" s="139">
        <f t="shared" si="23"/>
        <v>0</v>
      </c>
      <c r="L209" s="139">
        <f t="shared" si="23"/>
        <v>0</v>
      </c>
    </row>
    <row r="211" spans="1:12" ht="15.75" thickBot="1"/>
    <row r="212" spans="1:12" ht="18.75">
      <c r="A212" s="571" t="s">
        <v>161</v>
      </c>
      <c r="B212" s="322" t="s">
        <v>162</v>
      </c>
      <c r="C212" s="323">
        <v>2014</v>
      </c>
      <c r="D212" s="324">
        <v>2015</v>
      </c>
      <c r="E212" s="324">
        <v>2016</v>
      </c>
      <c r="F212" s="324">
        <v>2017</v>
      </c>
      <c r="G212" s="324">
        <v>2018</v>
      </c>
      <c r="H212" s="324">
        <v>2019</v>
      </c>
      <c r="I212" s="325">
        <v>2020</v>
      </c>
    </row>
    <row r="213" spans="1:12" ht="15" customHeight="1">
      <c r="A213" t="s">
        <v>163</v>
      </c>
      <c r="B213" s="1973" t="s">
        <v>250</v>
      </c>
      <c r="C213" s="72"/>
      <c r="D213" s="328">
        <f>D214+D216+D217+D215</f>
        <v>890627.55</v>
      </c>
      <c r="E213" s="328">
        <f>E214+E216+E217+E215</f>
        <v>990796.49</v>
      </c>
      <c r="F213" s="572">
        <f>F214+F215+F216+F217</f>
        <v>494284.08999999997</v>
      </c>
      <c r="G213" s="135"/>
      <c r="H213" s="135"/>
      <c r="I213" s="326"/>
    </row>
    <row r="214" spans="1:12">
      <c r="A214" t="s">
        <v>164</v>
      </c>
      <c r="B214" s="1974"/>
      <c r="C214" s="72"/>
      <c r="D214" s="328">
        <v>796803.17</v>
      </c>
      <c r="E214" s="573">
        <f>694673.63-58990.8-79999.2-24846</f>
        <v>530837.63</v>
      </c>
      <c r="F214" s="572">
        <f>204936.74+2261.4+10591+32633+4341.96</f>
        <v>254764.09999999998</v>
      </c>
      <c r="G214" s="135"/>
      <c r="H214" s="135"/>
      <c r="I214" s="326"/>
    </row>
    <row r="215" spans="1:12">
      <c r="A215" t="s">
        <v>165</v>
      </c>
      <c r="B215" s="1974"/>
      <c r="C215" s="72"/>
      <c r="D215" s="328">
        <v>0</v>
      </c>
      <c r="E215" s="573">
        <v>0</v>
      </c>
      <c r="F215" s="574">
        <v>0</v>
      </c>
      <c r="G215" s="135"/>
      <c r="H215" s="135"/>
      <c r="I215" s="326"/>
    </row>
    <row r="216" spans="1:12">
      <c r="A216" t="s">
        <v>166</v>
      </c>
      <c r="B216" s="1974"/>
      <c r="C216" s="72"/>
      <c r="D216" s="328">
        <v>78958.5</v>
      </c>
      <c r="E216" s="574">
        <f>47881.05+58990.8+79999.2+24846</f>
        <v>211717.05</v>
      </c>
      <c r="F216" s="574">
        <f>3500+6642+3690+6000+19987.5+4920+1722</f>
        <v>46461.5</v>
      </c>
      <c r="G216" s="135"/>
      <c r="H216" s="135"/>
      <c r="I216" s="326"/>
    </row>
    <row r="217" spans="1:12">
      <c r="A217" t="s">
        <v>167</v>
      </c>
      <c r="B217" s="1974"/>
      <c r="C217" s="72"/>
      <c r="D217" s="328">
        <v>14865.88</v>
      </c>
      <c r="E217" s="573">
        <v>248241.81</v>
      </c>
      <c r="F217" s="572">
        <f>28800+16501.87+43150+15658.84+11922.35+8855.96+4909.81+11597.35+38548.3+13114.01</f>
        <v>193058.49</v>
      </c>
      <c r="G217" s="135"/>
      <c r="H217" s="135"/>
      <c r="I217" s="326"/>
    </row>
    <row r="218" spans="1:12" ht="30">
      <c r="A218" s="56" t="s">
        <v>168</v>
      </c>
      <c r="B218" s="1974"/>
      <c r="C218" s="72"/>
      <c r="D218" s="328">
        <v>196143.93</v>
      </c>
      <c r="E218" s="575">
        <v>448805.73</v>
      </c>
      <c r="F218" s="572">
        <f>8242.53+5443+378445.24</f>
        <v>392130.77</v>
      </c>
      <c r="G218" s="135"/>
      <c r="H218" s="135"/>
      <c r="I218" s="326"/>
    </row>
    <row r="219" spans="1:12" ht="15.75" thickBot="1">
      <c r="A219" s="331"/>
      <c r="B219" s="1975"/>
      <c r="C219" s="42" t="s">
        <v>13</v>
      </c>
      <c r="D219" s="576">
        <f>SUM(D214:D218)</f>
        <v>1086771.48</v>
      </c>
      <c r="E219" s="576">
        <f>SUM(E214:E218)</f>
        <v>1439602.22</v>
      </c>
      <c r="F219" s="333">
        <f t="shared" ref="F219:I219" si="24">SUM(F214:F218)</f>
        <v>886414.86</v>
      </c>
      <c r="G219" s="333">
        <f t="shared" si="24"/>
        <v>0</v>
      </c>
      <c r="H219" s="333">
        <f t="shared" si="24"/>
        <v>0</v>
      </c>
      <c r="I219" s="333">
        <f t="shared" si="24"/>
        <v>0</v>
      </c>
    </row>
    <row r="223" spans="1:12">
      <c r="E223" s="327"/>
    </row>
    <row r="227" spans="1:1">
      <c r="A227" s="56"/>
    </row>
  </sheetData>
  <mergeCells count="60">
    <mergeCell ref="D60:D61"/>
    <mergeCell ref="B1:F1"/>
    <mergeCell ref="F3:O3"/>
    <mergeCell ref="A4:O10"/>
    <mergeCell ref="D15:G15"/>
    <mergeCell ref="A17:B24"/>
    <mergeCell ref="D26:G26"/>
    <mergeCell ref="A28:B35"/>
    <mergeCell ref="A40:B47"/>
    <mergeCell ref="A50:B58"/>
    <mergeCell ref="A60:A61"/>
    <mergeCell ref="C60:C61"/>
    <mergeCell ref="A62:A69"/>
    <mergeCell ref="B62:B69"/>
    <mergeCell ref="A72:B79"/>
    <mergeCell ref="A85:B92"/>
    <mergeCell ref="A96:A97"/>
    <mergeCell ref="B96:B97"/>
    <mergeCell ref="D118:D119"/>
    <mergeCell ref="C96:C97"/>
    <mergeCell ref="D96:E96"/>
    <mergeCell ref="A98:A105"/>
    <mergeCell ref="B98:B105"/>
    <mergeCell ref="A107:A108"/>
    <mergeCell ref="B107:B108"/>
    <mergeCell ref="C107:C108"/>
    <mergeCell ref="D107:D108"/>
    <mergeCell ref="A109:A116"/>
    <mergeCell ref="B109:B116"/>
    <mergeCell ref="A118:A119"/>
    <mergeCell ref="B118:B119"/>
    <mergeCell ref="C118:C119"/>
    <mergeCell ref="A120:B127"/>
    <mergeCell ref="A129:A130"/>
    <mergeCell ref="B129:B130"/>
    <mergeCell ref="A131:A137"/>
    <mergeCell ref="B131:B137"/>
    <mergeCell ref="C142:C143"/>
    <mergeCell ref="J142:N142"/>
    <mergeCell ref="A144:B151"/>
    <mergeCell ref="A153:A154"/>
    <mergeCell ref="B153:B154"/>
    <mergeCell ref="C153:C154"/>
    <mergeCell ref="A142:A143"/>
    <mergeCell ref="B142:B143"/>
    <mergeCell ref="C187:C188"/>
    <mergeCell ref="D187:G187"/>
    <mergeCell ref="H187:L187"/>
    <mergeCell ref="A155:B162"/>
    <mergeCell ref="A165:B172"/>
    <mergeCell ref="A176:A177"/>
    <mergeCell ref="B176:B177"/>
    <mergeCell ref="C176:C177"/>
    <mergeCell ref="I176:O176"/>
    <mergeCell ref="B189:B196"/>
    <mergeCell ref="A202:B209"/>
    <mergeCell ref="B213:B219"/>
    <mergeCell ref="B178:B185"/>
    <mergeCell ref="A187:A188"/>
    <mergeCell ref="B187:B18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9"/>
  <sheetViews>
    <sheetView topLeftCell="B7" zoomScaleNormal="100" workbookViewId="0">
      <selection activeCell="I18" sqref="I18:O18"/>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251</v>
      </c>
      <c r="C1" s="1944"/>
      <c r="D1" s="1944"/>
      <c r="E1" s="1944"/>
      <c r="F1" s="1944"/>
    </row>
    <row r="2" spans="1:25" s="1" customFormat="1" ht="20.100000000000001" customHeight="1" thickBot="1"/>
    <row r="3" spans="1:25" s="4" customFormat="1" ht="20.100000000000001" customHeight="1">
      <c r="A3" s="488" t="s">
        <v>2</v>
      </c>
      <c r="B3" s="489"/>
      <c r="C3" s="489"/>
      <c r="D3" s="489"/>
      <c r="E3" s="489"/>
      <c r="F3" s="2010"/>
      <c r="G3" s="2010"/>
      <c r="H3" s="2010"/>
      <c r="I3" s="2010"/>
      <c r="J3" s="2010"/>
      <c r="K3" s="2010"/>
      <c r="L3" s="2010"/>
      <c r="M3" s="2010"/>
      <c r="N3" s="2010"/>
      <c r="O3" s="2011"/>
    </row>
    <row r="4" spans="1:25" s="4" customFormat="1" ht="20.100000000000001" customHeight="1">
      <c r="A4" s="1947" t="s">
        <v>170</v>
      </c>
      <c r="B4" s="1948"/>
      <c r="C4" s="1948"/>
      <c r="D4" s="1948"/>
      <c r="E4" s="1948"/>
      <c r="F4" s="1948"/>
      <c r="G4" s="1948"/>
      <c r="H4" s="1948"/>
      <c r="I4" s="1948"/>
      <c r="J4" s="1948"/>
      <c r="K4" s="1948"/>
      <c r="L4" s="1948"/>
      <c r="M4" s="1948"/>
      <c r="N4" s="1948"/>
      <c r="O4" s="1949"/>
    </row>
    <row r="5" spans="1:25" s="4" customFormat="1" ht="20.100000000000001" customHeight="1">
      <c r="A5" s="1947"/>
      <c r="B5" s="1948"/>
      <c r="C5" s="1948"/>
      <c r="D5" s="1948"/>
      <c r="E5" s="1948"/>
      <c r="F5" s="1948"/>
      <c r="G5" s="1948"/>
      <c r="H5" s="1948"/>
      <c r="I5" s="1948"/>
      <c r="J5" s="1948"/>
      <c r="K5" s="1948"/>
      <c r="L5" s="1948"/>
      <c r="M5" s="1948"/>
      <c r="N5" s="1948"/>
      <c r="O5" s="1949"/>
    </row>
    <row r="6" spans="1:25" s="4" customFormat="1" ht="20.100000000000001" customHeight="1">
      <c r="A6" s="1947"/>
      <c r="B6" s="1948"/>
      <c r="C6" s="1948"/>
      <c r="D6" s="1948"/>
      <c r="E6" s="1948"/>
      <c r="F6" s="1948"/>
      <c r="G6" s="1948"/>
      <c r="H6" s="1948"/>
      <c r="I6" s="1948"/>
      <c r="J6" s="1948"/>
      <c r="K6" s="1948"/>
      <c r="L6" s="1948"/>
      <c r="M6" s="1948"/>
      <c r="N6" s="1948"/>
      <c r="O6" s="1949"/>
    </row>
    <row r="7" spans="1:25" s="4" customFormat="1" ht="20.100000000000001" customHeight="1">
      <c r="A7" s="1947"/>
      <c r="B7" s="1948"/>
      <c r="C7" s="1948"/>
      <c r="D7" s="1948"/>
      <c r="E7" s="1948"/>
      <c r="F7" s="1948"/>
      <c r="G7" s="1948"/>
      <c r="H7" s="1948"/>
      <c r="I7" s="1948"/>
      <c r="J7" s="1948"/>
      <c r="K7" s="1948"/>
      <c r="L7" s="1948"/>
      <c r="M7" s="1948"/>
      <c r="N7" s="1948"/>
      <c r="O7" s="1949"/>
    </row>
    <row r="8" spans="1:25" s="4" customFormat="1" ht="20.100000000000001" customHeight="1">
      <c r="A8" s="1947"/>
      <c r="B8" s="1948"/>
      <c r="C8" s="1948"/>
      <c r="D8" s="1948"/>
      <c r="E8" s="1948"/>
      <c r="F8" s="1948"/>
      <c r="G8" s="1948"/>
      <c r="H8" s="1948"/>
      <c r="I8" s="1948"/>
      <c r="J8" s="1948"/>
      <c r="K8" s="1948"/>
      <c r="L8" s="1948"/>
      <c r="M8" s="1948"/>
      <c r="N8" s="1948"/>
      <c r="O8" s="1949"/>
    </row>
    <row r="9" spans="1:25" s="4" customFormat="1" ht="20.100000000000001" customHeight="1">
      <c r="A9" s="1947"/>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515"/>
      <c r="B15" s="516"/>
      <c r="C15" s="10"/>
      <c r="D15" s="1953" t="s">
        <v>5</v>
      </c>
      <c r="E15" s="2012"/>
      <c r="F15" s="2012"/>
      <c r="G15" s="2012"/>
      <c r="H15" s="11"/>
      <c r="I15" s="12" t="s">
        <v>6</v>
      </c>
      <c r="J15" s="13"/>
      <c r="K15" s="13"/>
      <c r="L15" s="13"/>
      <c r="M15" s="13"/>
      <c r="N15" s="13"/>
      <c r="O15" s="14"/>
      <c r="P15" s="15"/>
      <c r="Q15" s="16"/>
      <c r="R15" s="17"/>
      <c r="S15" s="17"/>
      <c r="T15" s="17"/>
      <c r="U15" s="17"/>
      <c r="V15" s="17"/>
      <c r="W15" s="15"/>
      <c r="X15" s="15"/>
      <c r="Y15" s="16"/>
    </row>
    <row r="16" spans="1:25" s="56" customFormat="1" ht="150" customHeight="1">
      <c r="A16" s="1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15" customHeight="1">
      <c r="A17" s="1874" t="s">
        <v>252</v>
      </c>
      <c r="B17" s="1855"/>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c r="A18" s="1854"/>
      <c r="B18" s="1855"/>
      <c r="C18" s="36">
        <v>2015</v>
      </c>
      <c r="D18" s="37">
        <v>12</v>
      </c>
      <c r="E18" s="38">
        <v>4</v>
      </c>
      <c r="F18" s="38">
        <v>2</v>
      </c>
      <c r="G18" s="32">
        <f>SUM(D18:F18)</f>
        <v>18</v>
      </c>
      <c r="H18" s="39"/>
      <c r="I18" s="339">
        <v>2</v>
      </c>
      <c r="J18" s="339"/>
      <c r="K18" s="339">
        <v>2</v>
      </c>
      <c r="L18" s="339">
        <v>3</v>
      </c>
      <c r="M18" s="339"/>
      <c r="N18" s="339"/>
      <c r="O18" s="340">
        <v>11</v>
      </c>
      <c r="P18" s="35"/>
      <c r="Q18" s="35"/>
      <c r="R18" s="35"/>
      <c r="S18" s="35"/>
      <c r="T18" s="35"/>
      <c r="U18" s="35"/>
      <c r="V18" s="35"/>
      <c r="W18" s="35"/>
      <c r="X18" s="35"/>
      <c r="Y18" s="35"/>
    </row>
    <row r="19" spans="1:25">
      <c r="A19" s="1854"/>
      <c r="B19" s="1855"/>
      <c r="C19" s="36">
        <v>2016</v>
      </c>
      <c r="D19" s="460">
        <v>26</v>
      </c>
      <c r="E19" s="342">
        <v>12</v>
      </c>
      <c r="F19" s="342">
        <v>7</v>
      </c>
      <c r="G19" s="32">
        <f t="shared" si="0"/>
        <v>45</v>
      </c>
      <c r="H19" s="577"/>
      <c r="I19" s="578">
        <v>17</v>
      </c>
      <c r="J19" s="578">
        <v>7</v>
      </c>
      <c r="K19" s="578">
        <v>13</v>
      </c>
      <c r="L19" s="578"/>
      <c r="M19" s="578">
        <v>6</v>
      </c>
      <c r="N19" s="578"/>
      <c r="O19" s="579">
        <v>2</v>
      </c>
      <c r="P19" s="35"/>
      <c r="Q19" s="35"/>
      <c r="R19" s="35"/>
      <c r="S19" s="35"/>
      <c r="T19" s="35"/>
      <c r="U19" s="35"/>
      <c r="V19" s="35"/>
      <c r="W19" s="35"/>
      <c r="X19" s="35"/>
      <c r="Y19" s="35"/>
    </row>
    <row r="20" spans="1:25">
      <c r="A20" s="1854"/>
      <c r="B20" s="1855"/>
      <c r="C20" s="36">
        <v>2017</v>
      </c>
      <c r="D20" s="37">
        <f>8+15</f>
        <v>23</v>
      </c>
      <c r="E20" s="38">
        <f>6+5+2</f>
        <v>13</v>
      </c>
      <c r="F20" s="38">
        <f>2+1</f>
        <v>3</v>
      </c>
      <c r="G20" s="32">
        <f t="shared" si="0"/>
        <v>39</v>
      </c>
      <c r="H20" s="39"/>
      <c r="I20" s="580">
        <f>10+6</f>
        <v>16</v>
      </c>
      <c r="J20" s="580">
        <v>1</v>
      </c>
      <c r="K20" s="580">
        <f>6+5+4+1+1</f>
        <v>17</v>
      </c>
      <c r="L20" s="580">
        <f>3+1</f>
        <v>4</v>
      </c>
      <c r="M20" s="580"/>
      <c r="N20" s="580"/>
      <c r="O20" s="581">
        <v>1</v>
      </c>
      <c r="P20" s="35"/>
      <c r="Q20" s="35"/>
      <c r="R20" s="35"/>
      <c r="S20" s="35"/>
      <c r="T20" s="35"/>
      <c r="U20" s="35"/>
      <c r="V20" s="35"/>
      <c r="W20" s="35"/>
      <c r="X20" s="35"/>
      <c r="Y20" s="35"/>
    </row>
    <row r="21" spans="1:25">
      <c r="A21" s="1854"/>
      <c r="B21" s="1855"/>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c r="A22" s="1854"/>
      <c r="B22" s="1855"/>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c r="A23" s="1854"/>
      <c r="B23" s="1855"/>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137.44999999999999" customHeight="1" thickBot="1">
      <c r="A24" s="1856"/>
      <c r="B24" s="1857"/>
      <c r="C24" s="42" t="s">
        <v>13</v>
      </c>
      <c r="D24" s="43">
        <f>SUM(D17:D23)</f>
        <v>61</v>
      </c>
      <c r="E24" s="44">
        <f>SUM(E17:E23)</f>
        <v>29</v>
      </c>
      <c r="F24" s="44">
        <f>SUM(F17:F23)</f>
        <v>12</v>
      </c>
      <c r="G24" s="45">
        <f>SUM(D24:F24)</f>
        <v>102</v>
      </c>
      <c r="H24" s="46">
        <f>SUM(H17:H23)</f>
        <v>0</v>
      </c>
      <c r="I24" s="47">
        <f>SUM(I17:I23)</f>
        <v>35</v>
      </c>
      <c r="J24" s="47">
        <f t="shared" ref="J24:N24" si="1">SUM(J17:J23)</f>
        <v>8</v>
      </c>
      <c r="K24" s="47">
        <f t="shared" si="1"/>
        <v>32</v>
      </c>
      <c r="L24" s="47">
        <f t="shared" si="1"/>
        <v>7</v>
      </c>
      <c r="M24" s="47">
        <f t="shared" si="1"/>
        <v>6</v>
      </c>
      <c r="N24" s="47">
        <f t="shared" si="1"/>
        <v>0</v>
      </c>
      <c r="O24" s="48">
        <f>SUM(O17:O23)</f>
        <v>14</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515"/>
      <c r="B26" s="516"/>
      <c r="C26" s="50"/>
      <c r="D26" s="1959" t="s">
        <v>5</v>
      </c>
      <c r="E26" s="2071"/>
      <c r="F26" s="2071"/>
      <c r="G26" s="2072"/>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15" customHeight="1">
      <c r="A28" s="1874" t="s">
        <v>253</v>
      </c>
      <c r="B28" s="1855"/>
      <c r="C28" s="57">
        <v>2014</v>
      </c>
      <c r="D28" s="33"/>
      <c r="E28" s="31"/>
      <c r="F28" s="31"/>
      <c r="G28" s="58">
        <f>SUM(D28:F28)</f>
        <v>0</v>
      </c>
      <c r="H28" s="35"/>
      <c r="I28" s="35"/>
      <c r="J28" s="35"/>
      <c r="K28" s="35"/>
      <c r="L28" s="35"/>
      <c r="M28" s="35"/>
      <c r="N28" s="35"/>
      <c r="O28" s="35"/>
      <c r="P28" s="35"/>
      <c r="Q28" s="7"/>
    </row>
    <row r="29" spans="1:25">
      <c r="A29" s="1854"/>
      <c r="B29" s="1855"/>
      <c r="C29" s="59">
        <v>2015</v>
      </c>
      <c r="D29" s="582">
        <v>21402</v>
      </c>
      <c r="E29" s="38">
        <v>60090</v>
      </c>
      <c r="F29" s="38">
        <v>28</v>
      </c>
      <c r="G29" s="58">
        <f t="shared" ref="G29:G35" si="2">SUM(D29:F29)</f>
        <v>81520</v>
      </c>
      <c r="H29" s="35"/>
      <c r="I29" s="35"/>
      <c r="J29" s="35"/>
      <c r="K29" s="35"/>
      <c r="L29" s="35"/>
      <c r="M29" s="35"/>
      <c r="N29" s="35"/>
      <c r="O29" s="35"/>
      <c r="P29" s="35"/>
      <c r="Q29" s="7"/>
    </row>
    <row r="30" spans="1:25">
      <c r="A30" s="1854"/>
      <c r="B30" s="1855"/>
      <c r="C30" s="59">
        <v>2016</v>
      </c>
      <c r="D30" s="582">
        <v>13131</v>
      </c>
      <c r="E30" s="578">
        <v>123748</v>
      </c>
      <c r="F30" s="578">
        <v>90424</v>
      </c>
      <c r="G30" s="58">
        <f t="shared" si="2"/>
        <v>227303</v>
      </c>
      <c r="H30" s="35"/>
      <c r="I30" s="35"/>
      <c r="J30" s="35"/>
      <c r="K30" s="35"/>
      <c r="L30" s="35"/>
      <c r="M30" s="35"/>
      <c r="N30" s="35"/>
      <c r="O30" s="35"/>
      <c r="P30" s="35"/>
      <c r="Q30" s="7"/>
    </row>
    <row r="31" spans="1:25">
      <c r="A31" s="1854"/>
      <c r="B31" s="1855"/>
      <c r="C31" s="59">
        <v>2017</v>
      </c>
      <c r="D31" s="583">
        <f>23500+1729</f>
        <v>25229</v>
      </c>
      <c r="E31" s="38">
        <f>155000+10000+108</f>
        <v>165108</v>
      </c>
      <c r="F31" s="38">
        <f>90000+621</f>
        <v>90621</v>
      </c>
      <c r="G31" s="58">
        <f t="shared" si="2"/>
        <v>280958</v>
      </c>
      <c r="H31" s="35"/>
      <c r="I31" s="35"/>
      <c r="J31" s="35"/>
      <c r="K31" s="35"/>
      <c r="L31" s="35"/>
      <c r="M31" s="35"/>
      <c r="N31" s="35"/>
      <c r="O31" s="35"/>
      <c r="P31" s="35"/>
      <c r="Q31" s="7"/>
    </row>
    <row r="32" spans="1:25">
      <c r="A32" s="1854"/>
      <c r="B32" s="1855"/>
      <c r="C32" s="59">
        <v>2018</v>
      </c>
      <c r="D32" s="39"/>
      <c r="E32" s="38"/>
      <c r="F32" s="38"/>
      <c r="G32" s="58">
        <f>SUM(D32:F32)</f>
        <v>0</v>
      </c>
      <c r="H32" s="35"/>
      <c r="I32" s="35"/>
      <c r="J32" s="35"/>
      <c r="K32" s="35"/>
      <c r="L32" s="35"/>
      <c r="M32" s="35"/>
      <c r="N32" s="35"/>
      <c r="O32" s="35"/>
      <c r="P32" s="35"/>
      <c r="Q32" s="7"/>
    </row>
    <row r="33" spans="1:17">
      <c r="A33" s="1854"/>
      <c r="B33" s="1855"/>
      <c r="C33" s="60">
        <v>2019</v>
      </c>
      <c r="D33" s="39"/>
      <c r="E33" s="38"/>
      <c r="F33" s="38"/>
      <c r="G33" s="58">
        <f t="shared" si="2"/>
        <v>0</v>
      </c>
      <c r="H33" s="35"/>
      <c r="I33" s="35"/>
      <c r="J33" s="35"/>
      <c r="K33" s="35"/>
      <c r="L33" s="35"/>
      <c r="M33" s="35"/>
      <c r="N33" s="35"/>
      <c r="O33" s="35"/>
      <c r="P33" s="35"/>
      <c r="Q33" s="7"/>
    </row>
    <row r="34" spans="1:17">
      <c r="A34" s="1854"/>
      <c r="B34" s="1855"/>
      <c r="C34" s="59">
        <v>2020</v>
      </c>
      <c r="D34" s="39"/>
      <c r="E34" s="38"/>
      <c r="F34" s="38"/>
      <c r="G34" s="58">
        <f t="shared" si="2"/>
        <v>0</v>
      </c>
      <c r="H34" s="35"/>
      <c r="I34" s="35"/>
      <c r="J34" s="35"/>
      <c r="K34" s="35"/>
      <c r="L34" s="35"/>
      <c r="M34" s="35"/>
      <c r="N34" s="35"/>
      <c r="O34" s="35"/>
      <c r="P34" s="35"/>
      <c r="Q34" s="7"/>
    </row>
    <row r="35" spans="1:17" ht="160.9" customHeight="1" thickBot="1">
      <c r="A35" s="1856"/>
      <c r="B35" s="1857"/>
      <c r="C35" s="61" t="s">
        <v>13</v>
      </c>
      <c r="D35" s="46">
        <f>SUM(D28:D34)</f>
        <v>59762</v>
      </c>
      <c r="E35" s="44">
        <f>SUM(E28:E34)</f>
        <v>348946</v>
      </c>
      <c r="F35" s="44">
        <f>SUM(F28:F34)</f>
        <v>181073</v>
      </c>
      <c r="G35" s="48">
        <f t="shared" si="2"/>
        <v>589781</v>
      </c>
      <c r="H35" s="35"/>
      <c r="I35" s="35"/>
      <c r="J35" s="35"/>
      <c r="K35" s="35"/>
      <c r="L35" s="35"/>
      <c r="M35" s="35"/>
      <c r="N35" s="35"/>
      <c r="O35" s="35"/>
      <c r="P35" s="35"/>
      <c r="Q35" s="7"/>
    </row>
    <row r="36" spans="1:17">
      <c r="A36" s="62"/>
      <c r="B36" s="62"/>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535" t="s">
        <v>26</v>
      </c>
      <c r="B39" s="536" t="s">
        <v>171</v>
      </c>
      <c r="C39" s="68" t="s">
        <v>9</v>
      </c>
      <c r="D39" s="69" t="s">
        <v>28</v>
      </c>
      <c r="E39" s="70" t="s">
        <v>29</v>
      </c>
      <c r="F39" s="71"/>
      <c r="G39" s="28"/>
      <c r="H39" s="28"/>
    </row>
    <row r="40" spans="1:17">
      <c r="A40" s="1874"/>
      <c r="B40" s="1855"/>
      <c r="C40" s="72">
        <v>2014</v>
      </c>
      <c r="D40" s="30"/>
      <c r="E40" s="29"/>
      <c r="F40" s="7"/>
      <c r="G40" s="35"/>
      <c r="H40" s="35"/>
    </row>
    <row r="41" spans="1:17">
      <c r="A41" s="1854"/>
      <c r="B41" s="1855"/>
      <c r="C41" s="73">
        <v>2015</v>
      </c>
      <c r="D41" s="37">
        <v>27704</v>
      </c>
      <c r="E41" s="36">
        <v>6412</v>
      </c>
      <c r="F41" s="7"/>
      <c r="G41" s="35"/>
      <c r="H41" s="35"/>
    </row>
    <row r="42" spans="1:17">
      <c r="A42" s="1854"/>
      <c r="B42" s="1855"/>
      <c r="C42" s="73">
        <v>2016</v>
      </c>
      <c r="D42" s="584">
        <v>24267</v>
      </c>
      <c r="E42" s="585">
        <v>13971</v>
      </c>
      <c r="F42" s="7"/>
      <c r="G42" s="35"/>
      <c r="H42" s="35"/>
    </row>
    <row r="43" spans="1:17">
      <c r="A43" s="1854"/>
      <c r="B43" s="1855"/>
      <c r="C43" s="73">
        <v>2017</v>
      </c>
      <c r="D43" s="37">
        <v>39533</v>
      </c>
      <c r="E43" s="36">
        <v>16301</v>
      </c>
      <c r="F43" s="7"/>
      <c r="G43" s="35"/>
      <c r="H43" s="35"/>
    </row>
    <row r="44" spans="1:17">
      <c r="A44" s="1854"/>
      <c r="B44" s="1855"/>
      <c r="C44" s="73">
        <v>2018</v>
      </c>
      <c r="D44" s="37"/>
      <c r="E44" s="36"/>
      <c r="F44" s="7"/>
      <c r="G44" s="35"/>
      <c r="H44" s="35"/>
    </row>
    <row r="45" spans="1:17">
      <c r="A45" s="1854"/>
      <c r="B45" s="1855"/>
      <c r="C45" s="73">
        <v>2019</v>
      </c>
      <c r="D45" s="37"/>
      <c r="E45" s="36"/>
      <c r="F45" s="7"/>
      <c r="G45" s="35"/>
      <c r="H45" s="35"/>
    </row>
    <row r="46" spans="1:17">
      <c r="A46" s="1854"/>
      <c r="B46" s="1855"/>
      <c r="C46" s="73">
        <v>2020</v>
      </c>
      <c r="D46" s="37"/>
      <c r="E46" s="36"/>
      <c r="F46" s="7"/>
      <c r="G46" s="35"/>
      <c r="H46" s="35"/>
    </row>
    <row r="47" spans="1:17" ht="15.75" thickBot="1">
      <c r="A47" s="1856"/>
      <c r="B47" s="1857"/>
      <c r="C47" s="42" t="s">
        <v>13</v>
      </c>
      <c r="D47" s="43">
        <f>SUM(D40:D46)</f>
        <v>91504</v>
      </c>
      <c r="E47" s="455">
        <f>SUM(E40:E46)</f>
        <v>36684</v>
      </c>
      <c r="F47" s="78"/>
      <c r="G47" s="35"/>
      <c r="H47" s="35"/>
    </row>
    <row r="48" spans="1:17" s="35" customFormat="1" ht="15.75" thickBot="1">
      <c r="A48" s="539"/>
      <c r="B48" s="80"/>
      <c r="C48" s="81"/>
    </row>
    <row r="49" spans="1:15" ht="83.25" customHeight="1">
      <c r="A49" s="82" t="s">
        <v>32</v>
      </c>
      <c r="B49" s="536" t="s">
        <v>171</v>
      </c>
      <c r="C49" s="84" t="s">
        <v>9</v>
      </c>
      <c r="D49" s="69" t="s">
        <v>34</v>
      </c>
      <c r="E49" s="85" t="s">
        <v>35</v>
      </c>
      <c r="F49" s="85" t="s">
        <v>36</v>
      </c>
      <c r="G49" s="85" t="s">
        <v>37</v>
      </c>
      <c r="H49" s="85" t="s">
        <v>38</v>
      </c>
      <c r="I49" s="85" t="s">
        <v>39</v>
      </c>
      <c r="J49" s="85" t="s">
        <v>40</v>
      </c>
      <c r="K49" s="86" t="s">
        <v>41</v>
      </c>
    </row>
    <row r="50" spans="1:15" ht="17.25" customHeight="1">
      <c r="A50" s="1872"/>
      <c r="B50" s="1879"/>
      <c r="C50" s="87" t="s">
        <v>43</v>
      </c>
      <c r="D50" s="30"/>
      <c r="E50" s="31"/>
      <c r="F50" s="31"/>
      <c r="G50" s="31"/>
      <c r="H50" s="31"/>
      <c r="I50" s="31"/>
      <c r="J50" s="31"/>
      <c r="K50" s="34"/>
    </row>
    <row r="51" spans="1:15" ht="15" customHeight="1">
      <c r="A51" s="1874"/>
      <c r="B51" s="1881"/>
      <c r="C51" s="73">
        <v>2014</v>
      </c>
      <c r="D51" s="37"/>
      <c r="E51" s="38"/>
      <c r="F51" s="38"/>
      <c r="G51" s="38"/>
      <c r="H51" s="38"/>
      <c r="I51" s="38"/>
      <c r="J51" s="38"/>
      <c r="K51" s="88"/>
    </row>
    <row r="52" spans="1:15">
      <c r="A52" s="1874"/>
      <c r="B52" s="1881"/>
      <c r="C52" s="73">
        <v>2015</v>
      </c>
      <c r="D52" s="37"/>
      <c r="E52" s="38"/>
      <c r="F52" s="38"/>
      <c r="G52" s="38"/>
      <c r="H52" s="38"/>
      <c r="I52" s="38"/>
      <c r="J52" s="38"/>
      <c r="K52" s="88"/>
    </row>
    <row r="53" spans="1:15">
      <c r="A53" s="1874"/>
      <c r="B53" s="1881"/>
      <c r="C53" s="73">
        <v>2016</v>
      </c>
      <c r="D53" s="37">
        <v>1</v>
      </c>
      <c r="E53" s="38">
        <v>1</v>
      </c>
      <c r="F53" s="38"/>
      <c r="G53" s="38">
        <v>10127</v>
      </c>
      <c r="H53" s="38"/>
      <c r="I53" s="38"/>
      <c r="J53" s="38">
        <v>231</v>
      </c>
      <c r="K53" s="88"/>
    </row>
    <row r="54" spans="1:15">
      <c r="A54" s="1874"/>
      <c r="B54" s="1881"/>
      <c r="C54" s="73">
        <v>2017</v>
      </c>
      <c r="D54" s="37"/>
      <c r="E54" s="38"/>
      <c r="F54" s="38"/>
      <c r="G54" s="38"/>
      <c r="H54" s="38"/>
      <c r="I54" s="38"/>
      <c r="J54" s="38"/>
      <c r="K54" s="88"/>
    </row>
    <row r="55" spans="1:15">
      <c r="A55" s="1874"/>
      <c r="B55" s="1881"/>
      <c r="C55" s="73">
        <v>2018</v>
      </c>
      <c r="D55" s="37"/>
      <c r="E55" s="38"/>
      <c r="F55" s="38"/>
      <c r="G55" s="38"/>
      <c r="H55" s="38"/>
      <c r="I55" s="38"/>
      <c r="J55" s="38"/>
      <c r="K55" s="88"/>
    </row>
    <row r="56" spans="1:15">
      <c r="A56" s="1874"/>
      <c r="B56" s="1881"/>
      <c r="C56" s="73">
        <v>2019</v>
      </c>
      <c r="D56" s="37"/>
      <c r="E56" s="38"/>
      <c r="F56" s="38"/>
      <c r="G56" s="38"/>
      <c r="H56" s="38"/>
      <c r="I56" s="38"/>
      <c r="J56" s="38"/>
      <c r="K56" s="88"/>
    </row>
    <row r="57" spans="1:15">
      <c r="A57" s="1874"/>
      <c r="B57" s="1881"/>
      <c r="C57" s="73">
        <v>2020</v>
      </c>
      <c r="D57" s="37"/>
      <c r="E57" s="38"/>
      <c r="F57" s="38"/>
      <c r="G57" s="38"/>
      <c r="H57" s="38"/>
      <c r="I57" s="38"/>
      <c r="J57" s="38"/>
      <c r="K57" s="93"/>
    </row>
    <row r="58" spans="1:15" ht="20.25" customHeight="1" thickBot="1">
      <c r="A58" s="1876"/>
      <c r="B58" s="1883"/>
      <c r="C58" s="42" t="s">
        <v>13</v>
      </c>
      <c r="D58" s="43">
        <f>SUM(D51:D57)</f>
        <v>1</v>
      </c>
      <c r="E58" s="44">
        <f>SUM(E51:E57)</f>
        <v>1</v>
      </c>
      <c r="F58" s="44">
        <f>SUM(F51:F57)</f>
        <v>0</v>
      </c>
      <c r="G58" s="44">
        <f>SUM(G51:G57)</f>
        <v>10127</v>
      </c>
      <c r="H58" s="44">
        <f>SUM(H51:H57)</f>
        <v>0</v>
      </c>
      <c r="I58" s="44">
        <f t="shared" ref="I58" si="3">SUM(I51:I57)</f>
        <v>0</v>
      </c>
      <c r="J58" s="44">
        <f>SUM(J51:J57)</f>
        <v>231</v>
      </c>
      <c r="K58" s="48">
        <f>SUM(K50:K56)</f>
        <v>0</v>
      </c>
    </row>
    <row r="59" spans="1:15" ht="15.75" thickBot="1"/>
    <row r="60" spans="1:15" ht="21" customHeight="1">
      <c r="A60" s="2073" t="s">
        <v>44</v>
      </c>
      <c r="B60" s="540"/>
      <c r="C60" s="2074" t="s">
        <v>9</v>
      </c>
      <c r="D60" s="1941" t="s">
        <v>45</v>
      </c>
      <c r="E60" s="96" t="s">
        <v>6</v>
      </c>
      <c r="F60" s="541"/>
      <c r="G60" s="541"/>
      <c r="H60" s="541"/>
      <c r="I60" s="541"/>
      <c r="J60" s="541"/>
      <c r="K60" s="541"/>
      <c r="L60" s="542"/>
    </row>
    <row r="61" spans="1:15" ht="132.75" customHeight="1">
      <c r="A61" s="1970"/>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1898" t="s">
        <v>254</v>
      </c>
      <c r="B62" s="1899"/>
      <c r="C62" s="106">
        <v>2014</v>
      </c>
      <c r="D62" s="107"/>
      <c r="E62" s="108"/>
      <c r="F62" s="109"/>
      <c r="G62" s="109"/>
      <c r="H62" s="109"/>
      <c r="I62" s="109"/>
      <c r="J62" s="109"/>
      <c r="K62" s="109"/>
      <c r="L62" s="34"/>
      <c r="M62" s="7"/>
      <c r="N62" s="7"/>
      <c r="O62" s="7"/>
    </row>
    <row r="63" spans="1:15">
      <c r="A63" s="1891"/>
      <c r="B63" s="1899"/>
      <c r="C63" s="110">
        <v>2015</v>
      </c>
      <c r="D63" s="111">
        <v>14</v>
      </c>
      <c r="E63" s="112"/>
      <c r="F63" s="38">
        <v>3</v>
      </c>
      <c r="G63" s="38"/>
      <c r="H63" s="38">
        <v>1</v>
      </c>
      <c r="I63" s="38"/>
      <c r="J63" s="38"/>
      <c r="K63" s="38"/>
      <c r="L63" s="88">
        <v>10</v>
      </c>
      <c r="M63" s="7"/>
      <c r="N63" s="7"/>
      <c r="O63" s="7"/>
    </row>
    <row r="64" spans="1:15">
      <c r="A64" s="1891"/>
      <c r="B64" s="1899"/>
      <c r="C64" s="110">
        <v>2016</v>
      </c>
      <c r="D64" s="342">
        <f>19+35+10+2</f>
        <v>66</v>
      </c>
      <c r="E64" s="586"/>
      <c r="F64" s="342">
        <v>5</v>
      </c>
      <c r="G64" s="339">
        <v>5</v>
      </c>
      <c r="H64" s="339">
        <v>7</v>
      </c>
      <c r="I64" s="339"/>
      <c r="J64" s="339"/>
      <c r="K64" s="339"/>
      <c r="L64" s="343">
        <f>2+35+10+2</f>
        <v>49</v>
      </c>
      <c r="M64" s="7"/>
      <c r="N64" s="7"/>
      <c r="O64" s="7"/>
    </row>
    <row r="65" spans="1:20">
      <c r="A65" s="1891"/>
      <c r="B65" s="1899"/>
      <c r="C65" s="110">
        <v>2017</v>
      </c>
      <c r="D65" s="111">
        <f>16+16+10+1+1+1+3</f>
        <v>48</v>
      </c>
      <c r="E65" s="112"/>
      <c r="F65" s="38">
        <v>1</v>
      </c>
      <c r="G65" s="38"/>
      <c r="H65" s="38">
        <v>5</v>
      </c>
      <c r="I65" s="38"/>
      <c r="J65" s="38"/>
      <c r="K65" s="38"/>
      <c r="L65" s="88">
        <f>16+16+10</f>
        <v>42</v>
      </c>
      <c r="M65" s="7"/>
      <c r="N65" s="7"/>
      <c r="O65" s="7"/>
    </row>
    <row r="66" spans="1:20">
      <c r="A66" s="1891"/>
      <c r="B66" s="1899"/>
      <c r="C66" s="110">
        <v>2018</v>
      </c>
      <c r="D66" s="111"/>
      <c r="E66" s="112"/>
      <c r="F66" s="38"/>
      <c r="G66" s="38"/>
      <c r="H66" s="38"/>
      <c r="I66" s="38"/>
      <c r="J66" s="38"/>
      <c r="K66" s="38"/>
      <c r="L66" s="88"/>
      <c r="M66" s="7"/>
      <c r="N66" s="7"/>
      <c r="O66" s="7"/>
    </row>
    <row r="67" spans="1:20" ht="17.25" customHeight="1">
      <c r="A67" s="1891"/>
      <c r="B67" s="1899"/>
      <c r="C67" s="110">
        <v>2019</v>
      </c>
      <c r="D67" s="111"/>
      <c r="E67" s="112"/>
      <c r="F67" s="38"/>
      <c r="G67" s="38"/>
      <c r="H67" s="38"/>
      <c r="I67" s="38"/>
      <c r="J67" s="38"/>
      <c r="K67" s="38"/>
      <c r="L67" s="88"/>
      <c r="M67" s="7"/>
      <c r="N67" s="7"/>
      <c r="O67" s="7"/>
    </row>
    <row r="68" spans="1:20" ht="16.5" customHeight="1">
      <c r="A68" s="1891"/>
      <c r="B68" s="1899"/>
      <c r="C68" s="110">
        <v>2020</v>
      </c>
      <c r="D68" s="111"/>
      <c r="E68" s="112"/>
      <c r="F68" s="38"/>
      <c r="G68" s="38"/>
      <c r="H68" s="38"/>
      <c r="I68" s="38"/>
      <c r="J68" s="38"/>
      <c r="K68" s="38"/>
      <c r="L68" s="88"/>
      <c r="M68" s="78"/>
      <c r="N68" s="78"/>
      <c r="O68" s="78"/>
    </row>
    <row r="69" spans="1:20" ht="18" customHeight="1" thickBot="1">
      <c r="A69" s="1980"/>
      <c r="B69" s="1900"/>
      <c r="C69" s="113" t="s">
        <v>13</v>
      </c>
      <c r="D69" s="114">
        <f>SUM(D62:D68)</f>
        <v>128</v>
      </c>
      <c r="E69" s="115">
        <f>SUM(E62:E68)</f>
        <v>0</v>
      </c>
      <c r="F69" s="116">
        <f t="shared" ref="F69:I69" si="4">SUM(F62:F68)</f>
        <v>9</v>
      </c>
      <c r="G69" s="116">
        <f t="shared" si="4"/>
        <v>5</v>
      </c>
      <c r="H69" s="116">
        <f t="shared" si="4"/>
        <v>13</v>
      </c>
      <c r="I69" s="116">
        <f t="shared" si="4"/>
        <v>0</v>
      </c>
      <c r="J69" s="116"/>
      <c r="K69" s="116">
        <f>SUM(K62:K68)</f>
        <v>0</v>
      </c>
      <c r="L69" s="117">
        <f>SUM(L62:L68)</f>
        <v>101</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535" t="s">
        <v>47</v>
      </c>
      <c r="B71" s="536"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1874" t="s">
        <v>255</v>
      </c>
      <c r="B72" s="1899"/>
      <c r="C72" s="72">
        <v>2014</v>
      </c>
      <c r="D72" s="131"/>
      <c r="E72" s="131"/>
      <c r="F72" s="131"/>
      <c r="G72" s="132">
        <f>SUM(D72:F72)</f>
        <v>0</v>
      </c>
      <c r="H72" s="30"/>
      <c r="I72" s="133"/>
      <c r="J72" s="109"/>
      <c r="K72" s="109"/>
      <c r="L72" s="109"/>
      <c r="M72" s="109"/>
      <c r="N72" s="109"/>
      <c r="O72" s="134"/>
    </row>
    <row r="73" spans="1:20">
      <c r="A73" s="1854"/>
      <c r="B73" s="1899"/>
      <c r="C73" s="73">
        <v>2015</v>
      </c>
      <c r="D73" s="135"/>
      <c r="E73" s="135"/>
      <c r="F73" s="135"/>
      <c r="G73" s="132">
        <f t="shared" ref="G73:G78" si="5">SUM(D73:F73)</f>
        <v>0</v>
      </c>
      <c r="H73" s="37"/>
      <c r="I73" s="37"/>
      <c r="J73" s="38"/>
      <c r="K73" s="38"/>
      <c r="L73" s="38"/>
      <c r="M73" s="38"/>
      <c r="N73" s="38"/>
      <c r="O73" s="88"/>
    </row>
    <row r="74" spans="1:20">
      <c r="A74" s="1854"/>
      <c r="B74" s="1899"/>
      <c r="C74" s="73">
        <v>2016</v>
      </c>
      <c r="D74" s="135">
        <v>25</v>
      </c>
      <c r="E74" s="587">
        <v>8</v>
      </c>
      <c r="F74" s="459"/>
      <c r="G74" s="132">
        <f t="shared" si="5"/>
        <v>33</v>
      </c>
      <c r="H74" s="37"/>
      <c r="I74" s="584">
        <v>4</v>
      </c>
      <c r="J74" s="38">
        <v>3</v>
      </c>
      <c r="K74" s="38">
        <f>5+6</f>
        <v>11</v>
      </c>
      <c r="L74" s="38"/>
      <c r="M74" s="38"/>
      <c r="N74" s="38"/>
      <c r="O74" s="343">
        <v>15</v>
      </c>
    </row>
    <row r="75" spans="1:20">
      <c r="A75" s="1854"/>
      <c r="B75" s="1899"/>
      <c r="C75" s="73">
        <v>2017</v>
      </c>
      <c r="D75" s="135">
        <v>0</v>
      </c>
      <c r="E75" s="588">
        <v>13</v>
      </c>
      <c r="F75" s="135">
        <v>2</v>
      </c>
      <c r="G75" s="132">
        <f t="shared" si="5"/>
        <v>15</v>
      </c>
      <c r="H75" s="37"/>
      <c r="I75" s="37">
        <v>5</v>
      </c>
      <c r="J75" s="38"/>
      <c r="K75" s="38">
        <v>8</v>
      </c>
      <c r="L75" s="38"/>
      <c r="M75" s="38"/>
      <c r="N75" s="38"/>
      <c r="O75" s="88">
        <v>2</v>
      </c>
    </row>
    <row r="76" spans="1:20">
      <c r="A76" s="1854"/>
      <c r="B76" s="1899"/>
      <c r="C76" s="73">
        <v>2018</v>
      </c>
      <c r="D76" s="135"/>
      <c r="E76" s="135"/>
      <c r="F76" s="135"/>
      <c r="G76" s="132">
        <f t="shared" si="5"/>
        <v>0</v>
      </c>
      <c r="H76" s="37"/>
      <c r="I76" s="37"/>
      <c r="J76" s="38"/>
      <c r="K76" s="38"/>
      <c r="L76" s="38"/>
      <c r="M76" s="38"/>
      <c r="N76" s="38"/>
      <c r="O76" s="88"/>
    </row>
    <row r="77" spans="1:20" ht="15.75" customHeight="1">
      <c r="A77" s="1854"/>
      <c r="B77" s="1899"/>
      <c r="C77" s="73">
        <v>2019</v>
      </c>
      <c r="D77" s="135"/>
      <c r="E77" s="135"/>
      <c r="F77" s="135"/>
      <c r="G77" s="132">
        <f t="shared" si="5"/>
        <v>0</v>
      </c>
      <c r="H77" s="37"/>
      <c r="I77" s="37"/>
      <c r="J77" s="38"/>
      <c r="K77" s="38"/>
      <c r="L77" s="38"/>
      <c r="M77" s="38"/>
      <c r="N77" s="38"/>
      <c r="O77" s="88"/>
    </row>
    <row r="78" spans="1:20" ht="17.25" customHeight="1">
      <c r="A78" s="1854"/>
      <c r="B78" s="1899"/>
      <c r="C78" s="73">
        <v>2020</v>
      </c>
      <c r="D78" s="135"/>
      <c r="E78" s="135"/>
      <c r="F78" s="135"/>
      <c r="G78" s="132">
        <f t="shared" si="5"/>
        <v>0</v>
      </c>
      <c r="H78" s="37"/>
      <c r="I78" s="37"/>
      <c r="J78" s="38"/>
      <c r="K78" s="38"/>
      <c r="L78" s="38"/>
      <c r="M78" s="38"/>
      <c r="N78" s="38"/>
      <c r="O78" s="88"/>
    </row>
    <row r="79" spans="1:20" ht="20.25" customHeight="1" thickBot="1">
      <c r="A79" s="1980"/>
      <c r="B79" s="1900"/>
      <c r="C79" s="136" t="s">
        <v>13</v>
      </c>
      <c r="D79" s="114">
        <f>SUM(D72:D78)</f>
        <v>25</v>
      </c>
      <c r="E79" s="114">
        <f>SUM(E72:E78)</f>
        <v>21</v>
      </c>
      <c r="F79" s="114">
        <f>SUM(F72:F78)</f>
        <v>2</v>
      </c>
      <c r="G79" s="137">
        <f>SUM(G72:G78)</f>
        <v>48</v>
      </c>
      <c r="H79" s="138">
        <v>0</v>
      </c>
      <c r="I79" s="139">
        <f t="shared" ref="I79:O79" si="6">SUM(I72:I78)</f>
        <v>9</v>
      </c>
      <c r="J79" s="116">
        <f t="shared" si="6"/>
        <v>3</v>
      </c>
      <c r="K79" s="116">
        <f t="shared" si="6"/>
        <v>19</v>
      </c>
      <c r="L79" s="116">
        <f t="shared" si="6"/>
        <v>0</v>
      </c>
      <c r="M79" s="116">
        <f t="shared" si="6"/>
        <v>0</v>
      </c>
      <c r="N79" s="116">
        <f t="shared" si="6"/>
        <v>0</v>
      </c>
      <c r="O79" s="117">
        <f t="shared" si="6"/>
        <v>17</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28.25" customHeight="1">
      <c r="A84" s="547" t="s">
        <v>56</v>
      </c>
      <c r="B84" s="548" t="s">
        <v>178</v>
      </c>
      <c r="C84" s="149" t="s">
        <v>9</v>
      </c>
      <c r="D84" s="150" t="s">
        <v>58</v>
      </c>
      <c r="E84" s="151" t="s">
        <v>59</v>
      </c>
      <c r="F84" s="152" t="s">
        <v>60</v>
      </c>
      <c r="G84" s="152" t="s">
        <v>61</v>
      </c>
      <c r="H84" s="152" t="s">
        <v>62</v>
      </c>
      <c r="I84" s="152" t="s">
        <v>63</v>
      </c>
      <c r="J84" s="152" t="s">
        <v>64</v>
      </c>
      <c r="K84" s="153" t="s">
        <v>65</v>
      </c>
    </row>
    <row r="85" spans="1:16" ht="15" customHeight="1">
      <c r="A85" s="1939"/>
      <c r="B85" s="1899"/>
      <c r="C85" s="72">
        <v>2014</v>
      </c>
      <c r="D85" s="154"/>
      <c r="E85" s="155"/>
      <c r="F85" s="31"/>
      <c r="G85" s="31"/>
      <c r="H85" s="31"/>
      <c r="I85" s="31"/>
      <c r="J85" s="31"/>
      <c r="K85" s="34"/>
    </row>
    <row r="86" spans="1:16">
      <c r="A86" s="1939"/>
      <c r="B86" s="1899"/>
      <c r="C86" s="73">
        <v>2015</v>
      </c>
      <c r="D86" s="156"/>
      <c r="E86" s="112"/>
      <c r="F86" s="38"/>
      <c r="G86" s="38"/>
      <c r="H86" s="38"/>
      <c r="I86" s="38"/>
      <c r="J86" s="38"/>
      <c r="K86" s="88"/>
    </row>
    <row r="87" spans="1:16">
      <c r="A87" s="1939"/>
      <c r="B87" s="1899"/>
      <c r="C87" s="73">
        <v>2016</v>
      </c>
      <c r="D87" s="589"/>
      <c r="E87" s="112"/>
      <c r="F87" s="38"/>
      <c r="G87" s="578"/>
      <c r="H87" s="578"/>
      <c r="I87" s="578"/>
      <c r="J87" s="345"/>
      <c r="K87" s="397"/>
    </row>
    <row r="88" spans="1:16">
      <c r="A88" s="1939"/>
      <c r="B88" s="1899"/>
      <c r="C88" s="73">
        <v>2017</v>
      </c>
      <c r="D88" s="156"/>
      <c r="E88" s="112"/>
      <c r="F88" s="38"/>
      <c r="G88" s="38"/>
      <c r="H88" s="38"/>
      <c r="I88" s="38"/>
      <c r="J88" s="38"/>
      <c r="K88" s="88"/>
    </row>
    <row r="89" spans="1:16">
      <c r="A89" s="1939"/>
      <c r="B89" s="1899"/>
      <c r="C89" s="73">
        <v>2018</v>
      </c>
      <c r="D89" s="156"/>
      <c r="E89" s="112"/>
      <c r="F89" s="38"/>
      <c r="G89" s="38"/>
      <c r="H89" s="38"/>
      <c r="I89" s="38"/>
      <c r="J89" s="38"/>
      <c r="K89" s="88"/>
    </row>
    <row r="90" spans="1:16">
      <c r="A90" s="1939"/>
      <c r="B90" s="1899"/>
      <c r="C90" s="73">
        <v>2019</v>
      </c>
      <c r="D90" s="156"/>
      <c r="E90" s="112"/>
      <c r="F90" s="38"/>
      <c r="G90" s="38"/>
      <c r="H90" s="38"/>
      <c r="I90" s="38"/>
      <c r="J90" s="38"/>
      <c r="K90" s="88"/>
    </row>
    <row r="91" spans="1:16">
      <c r="A91" s="1939"/>
      <c r="B91" s="1899"/>
      <c r="C91" s="73">
        <v>2020</v>
      </c>
      <c r="D91" s="156"/>
      <c r="E91" s="112"/>
      <c r="F91" s="38"/>
      <c r="G91" s="38"/>
      <c r="H91" s="38"/>
      <c r="I91" s="38"/>
      <c r="J91" s="38"/>
      <c r="K91" s="88"/>
    </row>
    <row r="92" spans="1:16" ht="18" customHeight="1" thickBot="1">
      <c r="A92" s="1940"/>
      <c r="B92" s="1900"/>
      <c r="C92" s="136" t="s">
        <v>13</v>
      </c>
      <c r="D92" s="157">
        <f t="shared" ref="D92:I92" si="7">SUM(D85:D91)</f>
        <v>0</v>
      </c>
      <c r="E92" s="115">
        <f t="shared" si="7"/>
        <v>0</v>
      </c>
      <c r="F92" s="116">
        <f t="shared" si="7"/>
        <v>0</v>
      </c>
      <c r="G92" s="116">
        <f t="shared" si="7"/>
        <v>0</v>
      </c>
      <c r="H92" s="116">
        <f t="shared" si="7"/>
        <v>0</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051" t="s">
        <v>68</v>
      </c>
      <c r="B96" s="2052" t="s">
        <v>179</v>
      </c>
      <c r="C96" s="2058" t="s">
        <v>9</v>
      </c>
      <c r="D96" s="1916" t="s">
        <v>70</v>
      </c>
      <c r="E96" s="1917"/>
      <c r="F96" s="162" t="s">
        <v>71</v>
      </c>
      <c r="G96" s="549"/>
      <c r="H96" s="549"/>
      <c r="I96" s="549"/>
      <c r="J96" s="549"/>
      <c r="K96" s="549"/>
      <c r="L96" s="549"/>
      <c r="M96" s="550"/>
      <c r="N96" s="165"/>
      <c r="O96" s="165"/>
      <c r="P96" s="165"/>
    </row>
    <row r="97" spans="1:16" ht="100.5" customHeight="1">
      <c r="A97" s="1910"/>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1898" t="s">
        <v>256</v>
      </c>
      <c r="B98" s="1899"/>
      <c r="C98" s="106">
        <v>2014</v>
      </c>
      <c r="D98" s="30"/>
      <c r="E98" s="31"/>
      <c r="F98" s="174"/>
      <c r="G98" s="175"/>
      <c r="H98" s="175"/>
      <c r="I98" s="175"/>
      <c r="J98" s="175"/>
      <c r="K98" s="175"/>
      <c r="L98" s="175"/>
      <c r="M98" s="176"/>
      <c r="N98" s="165"/>
      <c r="O98" s="165"/>
      <c r="P98" s="165"/>
    </row>
    <row r="99" spans="1:16" ht="16.5" customHeight="1">
      <c r="A99" s="1891"/>
      <c r="B99" s="1899"/>
      <c r="C99" s="110">
        <v>2015</v>
      </c>
      <c r="D99" s="37">
        <v>1</v>
      </c>
      <c r="E99" s="38">
        <v>1</v>
      </c>
      <c r="F99" s="177"/>
      <c r="G99" s="178"/>
      <c r="H99" s="178"/>
      <c r="I99" s="178"/>
      <c r="J99" s="178"/>
      <c r="K99" s="178"/>
      <c r="L99" s="178"/>
      <c r="M99" s="179">
        <v>1</v>
      </c>
      <c r="N99" s="165"/>
      <c r="O99" s="165"/>
      <c r="P99" s="165"/>
    </row>
    <row r="100" spans="1:16" ht="16.5" customHeight="1">
      <c r="A100" s="1891"/>
      <c r="B100" s="1899"/>
      <c r="C100" s="110">
        <v>2016</v>
      </c>
      <c r="D100" s="584">
        <v>1</v>
      </c>
      <c r="E100" s="578">
        <v>7</v>
      </c>
      <c r="F100" s="177"/>
      <c r="G100" s="178"/>
      <c r="H100" s="178"/>
      <c r="I100" s="178"/>
      <c r="J100" s="178"/>
      <c r="K100" s="178"/>
      <c r="L100" s="178"/>
      <c r="M100" s="179">
        <v>1</v>
      </c>
      <c r="N100" s="165"/>
      <c r="O100" s="165"/>
      <c r="P100" s="165"/>
    </row>
    <row r="101" spans="1:16" ht="16.5" customHeight="1">
      <c r="A101" s="1891"/>
      <c r="B101" s="1899"/>
      <c r="C101" s="110">
        <v>2017</v>
      </c>
      <c r="D101" s="37">
        <v>1</v>
      </c>
      <c r="E101" s="38">
        <v>5</v>
      </c>
      <c r="F101" s="177"/>
      <c r="G101" s="178"/>
      <c r="H101" s="178"/>
      <c r="I101" s="178"/>
      <c r="J101" s="178"/>
      <c r="K101" s="178"/>
      <c r="L101" s="178"/>
      <c r="M101" s="179">
        <v>1</v>
      </c>
      <c r="N101" s="165"/>
      <c r="O101" s="165"/>
      <c r="P101" s="165"/>
    </row>
    <row r="102" spans="1:16" ht="15.75" customHeight="1">
      <c r="A102" s="1891"/>
      <c r="B102" s="1899"/>
      <c r="C102" s="110">
        <v>2018</v>
      </c>
      <c r="D102" s="37"/>
      <c r="E102" s="38"/>
      <c r="F102" s="177"/>
      <c r="G102" s="178"/>
      <c r="H102" s="178"/>
      <c r="I102" s="178"/>
      <c r="J102" s="178"/>
      <c r="K102" s="178"/>
      <c r="L102" s="178"/>
      <c r="M102" s="179"/>
      <c r="N102" s="165"/>
      <c r="O102" s="165"/>
      <c r="P102" s="165"/>
    </row>
    <row r="103" spans="1:16" ht="14.25" customHeight="1">
      <c r="A103" s="1891"/>
      <c r="B103" s="1899"/>
      <c r="C103" s="110">
        <v>2019</v>
      </c>
      <c r="D103" s="37"/>
      <c r="E103" s="38"/>
      <c r="F103" s="177"/>
      <c r="G103" s="178"/>
      <c r="H103" s="178"/>
      <c r="I103" s="178"/>
      <c r="J103" s="178"/>
      <c r="K103" s="178"/>
      <c r="L103" s="178"/>
      <c r="M103" s="179"/>
      <c r="N103" s="165"/>
      <c r="O103" s="165"/>
      <c r="P103" s="165"/>
    </row>
    <row r="104" spans="1:16" ht="14.25" customHeight="1">
      <c r="A104" s="1891"/>
      <c r="B104" s="1899"/>
      <c r="C104" s="110">
        <v>2020</v>
      </c>
      <c r="D104" s="37"/>
      <c r="E104" s="38"/>
      <c r="F104" s="177"/>
      <c r="G104" s="178"/>
      <c r="H104" s="178"/>
      <c r="I104" s="178"/>
      <c r="J104" s="178"/>
      <c r="K104" s="178"/>
      <c r="L104" s="178"/>
      <c r="M104" s="179"/>
      <c r="N104" s="165"/>
      <c r="O104" s="165"/>
      <c r="P104" s="165"/>
    </row>
    <row r="105" spans="1:16" ht="19.5" customHeight="1" thickBot="1">
      <c r="A105" s="1915"/>
      <c r="B105" s="1900"/>
      <c r="C105" s="113" t="s">
        <v>13</v>
      </c>
      <c r="D105" s="139">
        <f>SUM(D98:D104)</f>
        <v>3</v>
      </c>
      <c r="E105" s="116">
        <f t="shared" ref="E105:K105" si="8">SUM(E98:E104)</f>
        <v>13</v>
      </c>
      <c r="F105" s="180">
        <f t="shared" si="8"/>
        <v>0</v>
      </c>
      <c r="G105" s="181">
        <f t="shared" si="8"/>
        <v>0</v>
      </c>
      <c r="H105" s="181">
        <f t="shared" si="8"/>
        <v>0</v>
      </c>
      <c r="I105" s="181">
        <f>SUM(I98:I104)</f>
        <v>0</v>
      </c>
      <c r="J105" s="181">
        <f t="shared" si="8"/>
        <v>0</v>
      </c>
      <c r="K105" s="181">
        <f t="shared" si="8"/>
        <v>0</v>
      </c>
      <c r="L105" s="181">
        <f>SUM(L98:L104)</f>
        <v>0</v>
      </c>
      <c r="M105" s="182">
        <f>SUM(M98:M104)</f>
        <v>3</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051" t="s">
        <v>77</v>
      </c>
      <c r="B107" s="2052" t="s">
        <v>179</v>
      </c>
      <c r="C107" s="2058" t="s">
        <v>9</v>
      </c>
      <c r="D107" s="1926" t="s">
        <v>78</v>
      </c>
      <c r="E107" s="162" t="s">
        <v>79</v>
      </c>
      <c r="F107" s="549"/>
      <c r="G107" s="549"/>
      <c r="H107" s="549"/>
      <c r="I107" s="549"/>
      <c r="J107" s="549"/>
      <c r="K107" s="549"/>
      <c r="L107" s="550"/>
      <c r="M107" s="185"/>
      <c r="N107" s="185"/>
    </row>
    <row r="108" spans="1:16" ht="103.5"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1898"/>
      <c r="B109" s="1899"/>
      <c r="C109" s="106">
        <v>2014</v>
      </c>
      <c r="D109" s="31"/>
      <c r="E109" s="174"/>
      <c r="F109" s="175"/>
      <c r="G109" s="175"/>
      <c r="H109" s="175"/>
      <c r="I109" s="175"/>
      <c r="J109" s="175"/>
      <c r="K109" s="175"/>
      <c r="L109" s="176"/>
      <c r="M109" s="185"/>
      <c r="N109" s="185"/>
    </row>
    <row r="110" spans="1:16">
      <c r="A110" s="1891"/>
      <c r="B110" s="1899"/>
      <c r="C110" s="110">
        <v>2015</v>
      </c>
      <c r="D110" s="38"/>
      <c r="E110" s="177"/>
      <c r="F110" s="178"/>
      <c r="G110" s="178"/>
      <c r="H110" s="178"/>
      <c r="I110" s="178"/>
      <c r="J110" s="178"/>
      <c r="K110" s="178"/>
      <c r="L110" s="179"/>
      <c r="M110" s="185"/>
      <c r="N110" s="185"/>
    </row>
    <row r="111" spans="1:16">
      <c r="A111" s="1891"/>
      <c r="B111" s="1899"/>
      <c r="C111" s="110">
        <v>2016</v>
      </c>
      <c r="D111" s="578"/>
      <c r="E111" s="590"/>
      <c r="F111" s="578"/>
      <c r="G111" s="578"/>
      <c r="H111" s="578"/>
      <c r="I111" s="578"/>
      <c r="J111" s="578"/>
      <c r="K111" s="578"/>
      <c r="L111" s="179"/>
      <c r="M111" s="185"/>
      <c r="N111" s="185"/>
    </row>
    <row r="112" spans="1:16">
      <c r="A112" s="1891"/>
      <c r="B112" s="1899"/>
      <c r="C112" s="110">
        <v>2017</v>
      </c>
      <c r="D112" s="38"/>
      <c r="E112" s="177"/>
      <c r="F112" s="178"/>
      <c r="G112" s="178"/>
      <c r="H112" s="178"/>
      <c r="I112" s="178"/>
      <c r="J112" s="178"/>
      <c r="K112" s="178"/>
      <c r="L112" s="179"/>
      <c r="M112" s="185"/>
      <c r="N112" s="185"/>
    </row>
    <row r="113" spans="1:14">
      <c r="A113" s="1891"/>
      <c r="B113" s="1899"/>
      <c r="C113" s="110">
        <v>2018</v>
      </c>
      <c r="D113" s="38"/>
      <c r="E113" s="177"/>
      <c r="F113" s="178"/>
      <c r="G113" s="178"/>
      <c r="H113" s="178"/>
      <c r="I113" s="178"/>
      <c r="J113" s="178"/>
      <c r="K113" s="178"/>
      <c r="L113" s="179"/>
      <c r="M113" s="185"/>
      <c r="N113" s="185"/>
    </row>
    <row r="114" spans="1:14">
      <c r="A114" s="1891"/>
      <c r="B114" s="1899"/>
      <c r="C114" s="110">
        <v>2019</v>
      </c>
      <c r="D114" s="38"/>
      <c r="E114" s="177"/>
      <c r="F114" s="178"/>
      <c r="G114" s="178"/>
      <c r="H114" s="178"/>
      <c r="I114" s="178"/>
      <c r="J114" s="178"/>
      <c r="K114" s="178"/>
      <c r="L114" s="179"/>
      <c r="M114" s="185"/>
      <c r="N114" s="185"/>
    </row>
    <row r="115" spans="1:14">
      <c r="A115" s="1891"/>
      <c r="B115" s="1899"/>
      <c r="C115" s="110">
        <v>2020</v>
      </c>
      <c r="D115" s="38"/>
      <c r="E115" s="177"/>
      <c r="F115" s="178"/>
      <c r="G115" s="178"/>
      <c r="H115" s="178"/>
      <c r="I115" s="178"/>
      <c r="J115" s="178"/>
      <c r="K115" s="178"/>
      <c r="L115" s="179"/>
      <c r="M115" s="185"/>
      <c r="N115" s="185"/>
    </row>
    <row r="116" spans="1:14" ht="25.5" customHeight="1" thickBot="1">
      <c r="A116" s="1915"/>
      <c r="B116" s="1900"/>
      <c r="C116" s="113" t="s">
        <v>13</v>
      </c>
      <c r="D116" s="116">
        <f t="shared" ref="D116:I116" si="9">SUM(D109:D115)</f>
        <v>0</v>
      </c>
      <c r="E116" s="180">
        <f t="shared" si="9"/>
        <v>0</v>
      </c>
      <c r="F116" s="181">
        <f t="shared" si="9"/>
        <v>0</v>
      </c>
      <c r="G116" s="181">
        <f t="shared" si="9"/>
        <v>0</v>
      </c>
      <c r="H116" s="181">
        <f t="shared" si="9"/>
        <v>0</v>
      </c>
      <c r="I116" s="181">
        <f t="shared" si="9"/>
        <v>0</v>
      </c>
      <c r="J116" s="181"/>
      <c r="K116" s="181">
        <f>SUM(K109:K115)</f>
        <v>0</v>
      </c>
      <c r="L116" s="182">
        <f>SUM(L109:L115)</f>
        <v>0</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051" t="s">
        <v>81</v>
      </c>
      <c r="B118" s="2052" t="s">
        <v>179</v>
      </c>
      <c r="C118" s="2058" t="s">
        <v>9</v>
      </c>
      <c r="D118" s="1926" t="s">
        <v>82</v>
      </c>
      <c r="E118" s="162" t="s">
        <v>79</v>
      </c>
      <c r="F118" s="549"/>
      <c r="G118" s="549"/>
      <c r="H118" s="549"/>
      <c r="I118" s="549"/>
      <c r="J118" s="549"/>
      <c r="K118" s="549"/>
      <c r="L118" s="550"/>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1898"/>
      <c r="B120" s="1899"/>
      <c r="C120" s="106">
        <v>2014</v>
      </c>
      <c r="D120" s="31"/>
      <c r="E120" s="174"/>
      <c r="F120" s="175"/>
      <c r="G120" s="175"/>
      <c r="H120" s="175"/>
      <c r="I120" s="175"/>
      <c r="J120" s="175"/>
      <c r="K120" s="175"/>
      <c r="L120" s="176"/>
      <c r="M120" s="185"/>
      <c r="N120" s="185"/>
    </row>
    <row r="121" spans="1:14">
      <c r="A121" s="1891"/>
      <c r="B121" s="1899"/>
      <c r="C121" s="110">
        <v>2015</v>
      </c>
      <c r="D121" s="38"/>
      <c r="E121" s="177"/>
      <c r="F121" s="178"/>
      <c r="G121" s="178"/>
      <c r="H121" s="178"/>
      <c r="I121" s="178"/>
      <c r="J121" s="178"/>
      <c r="K121" s="178"/>
      <c r="L121" s="179"/>
      <c r="M121" s="185"/>
      <c r="N121" s="185"/>
    </row>
    <row r="122" spans="1:14">
      <c r="A122" s="1891"/>
      <c r="B122" s="1899"/>
      <c r="C122" s="110">
        <v>2016</v>
      </c>
      <c r="D122" s="38"/>
      <c r="E122" s="177"/>
      <c r="F122" s="178"/>
      <c r="G122" s="178"/>
      <c r="H122" s="178"/>
      <c r="I122" s="178"/>
      <c r="J122" s="178"/>
      <c r="K122" s="178"/>
      <c r="L122" s="179"/>
      <c r="M122" s="185"/>
      <c r="N122" s="185"/>
    </row>
    <row r="123" spans="1:14">
      <c r="A123" s="1891"/>
      <c r="B123" s="1899"/>
      <c r="C123" s="110">
        <v>2017</v>
      </c>
      <c r="D123" s="38"/>
      <c r="E123" s="177"/>
      <c r="F123" s="178"/>
      <c r="G123" s="178"/>
      <c r="H123" s="178"/>
      <c r="I123" s="178"/>
      <c r="J123" s="178"/>
      <c r="K123" s="178"/>
      <c r="L123" s="179"/>
      <c r="M123" s="185"/>
      <c r="N123" s="185"/>
    </row>
    <row r="124" spans="1:14">
      <c r="A124" s="1891"/>
      <c r="B124" s="1899"/>
      <c r="C124" s="110">
        <v>2018</v>
      </c>
      <c r="D124" s="38"/>
      <c r="E124" s="177"/>
      <c r="F124" s="178"/>
      <c r="G124" s="178"/>
      <c r="H124" s="178"/>
      <c r="I124" s="178"/>
      <c r="J124" s="178"/>
      <c r="K124" s="178"/>
      <c r="L124" s="179"/>
      <c r="M124" s="185"/>
      <c r="N124" s="185"/>
    </row>
    <row r="125" spans="1:14">
      <c r="A125" s="1891"/>
      <c r="B125" s="1899"/>
      <c r="C125" s="110">
        <v>2019</v>
      </c>
      <c r="D125" s="38"/>
      <c r="E125" s="177"/>
      <c r="F125" s="178"/>
      <c r="G125" s="178"/>
      <c r="H125" s="178"/>
      <c r="I125" s="178"/>
      <c r="J125" s="178"/>
      <c r="K125" s="178"/>
      <c r="L125" s="179"/>
      <c r="M125" s="185"/>
      <c r="N125" s="185"/>
    </row>
    <row r="126" spans="1:14">
      <c r="A126" s="1891"/>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051" t="s">
        <v>84</v>
      </c>
      <c r="B129" s="2052" t="s">
        <v>179</v>
      </c>
      <c r="C129" s="552" t="s">
        <v>9</v>
      </c>
      <c r="D129" s="189" t="s">
        <v>85</v>
      </c>
      <c r="E129" s="553"/>
      <c r="F129" s="553"/>
      <c r="G129" s="191"/>
      <c r="H129" s="185"/>
      <c r="I129" s="185"/>
      <c r="J129" s="185"/>
      <c r="K129" s="185"/>
      <c r="L129" s="185"/>
      <c r="M129" s="185"/>
      <c r="N129" s="185"/>
    </row>
    <row r="130" spans="1:16" ht="77.25" customHeight="1">
      <c r="A130" s="1910"/>
      <c r="B130" s="1912"/>
      <c r="C130" s="192"/>
      <c r="D130" s="166" t="s">
        <v>86</v>
      </c>
      <c r="E130" s="193" t="s">
        <v>87</v>
      </c>
      <c r="F130" s="167" t="s">
        <v>88</v>
      </c>
      <c r="G130" s="194" t="s">
        <v>13</v>
      </c>
      <c r="H130" s="185"/>
      <c r="I130" s="185"/>
      <c r="J130" s="185"/>
      <c r="K130" s="185"/>
      <c r="L130" s="185"/>
      <c r="M130" s="185"/>
      <c r="N130" s="185"/>
    </row>
    <row r="131" spans="1:16" ht="15" customHeight="1">
      <c r="A131" s="1874" t="s">
        <v>257</v>
      </c>
      <c r="B131" s="1855"/>
      <c r="C131" s="591">
        <v>2015</v>
      </c>
      <c r="D131" s="460">
        <v>9</v>
      </c>
      <c r="E131" s="342"/>
      <c r="F131" s="342"/>
      <c r="G131" s="195">
        <f t="shared" ref="G131:G136" si="11">SUM(D131:F131)</f>
        <v>9</v>
      </c>
      <c r="H131" s="185"/>
      <c r="I131" s="185"/>
      <c r="J131" s="185"/>
      <c r="K131" s="185"/>
      <c r="L131" s="185"/>
      <c r="M131" s="185"/>
      <c r="N131" s="185"/>
    </row>
    <row r="132" spans="1:16">
      <c r="A132" s="1854"/>
      <c r="B132" s="1855"/>
      <c r="C132" s="110">
        <v>2016</v>
      </c>
      <c r="D132" s="460">
        <v>56</v>
      </c>
      <c r="E132" s="345"/>
      <c r="F132" s="38"/>
      <c r="G132" s="195">
        <f t="shared" si="11"/>
        <v>56</v>
      </c>
      <c r="H132" s="185"/>
      <c r="I132" s="185"/>
      <c r="J132" s="185"/>
      <c r="K132" s="185"/>
      <c r="L132" s="185"/>
      <c r="M132" s="185"/>
      <c r="N132" s="185"/>
    </row>
    <row r="133" spans="1:16">
      <c r="A133" s="1854"/>
      <c r="B133" s="1855"/>
      <c r="C133" s="110">
        <v>2017</v>
      </c>
      <c r="D133" s="584">
        <f>9+7+8+10+8</f>
        <v>42</v>
      </c>
      <c r="E133" s="38"/>
      <c r="F133" s="38"/>
      <c r="G133" s="195">
        <f t="shared" si="11"/>
        <v>42</v>
      </c>
      <c r="H133" s="185"/>
      <c r="I133" s="185"/>
      <c r="J133" s="185"/>
      <c r="K133" s="185"/>
      <c r="L133" s="185"/>
      <c r="M133" s="185"/>
      <c r="N133" s="185"/>
    </row>
    <row r="134" spans="1:16">
      <c r="A134" s="1854"/>
      <c r="B134" s="1855"/>
      <c r="C134" s="110">
        <v>2018</v>
      </c>
      <c r="D134" s="37"/>
      <c r="E134" s="38"/>
      <c r="F134" s="38"/>
      <c r="G134" s="195">
        <f t="shared" si="11"/>
        <v>0</v>
      </c>
      <c r="H134" s="185"/>
      <c r="I134" s="185"/>
      <c r="J134" s="185"/>
      <c r="K134" s="185"/>
      <c r="L134" s="185"/>
      <c r="M134" s="185"/>
      <c r="N134" s="185"/>
    </row>
    <row r="135" spans="1:16">
      <c r="A135" s="1854"/>
      <c r="B135" s="1855"/>
      <c r="C135" s="110">
        <v>2019</v>
      </c>
      <c r="D135" s="37"/>
      <c r="E135" s="38"/>
      <c r="F135" s="38"/>
      <c r="G135" s="195">
        <f t="shared" si="11"/>
        <v>0</v>
      </c>
      <c r="H135" s="185"/>
      <c r="I135" s="185"/>
      <c r="J135" s="185"/>
      <c r="K135" s="185"/>
      <c r="L135" s="185"/>
      <c r="M135" s="185"/>
      <c r="N135" s="185"/>
    </row>
    <row r="136" spans="1:16">
      <c r="A136" s="1854"/>
      <c r="B136" s="1855"/>
      <c r="C136" s="110">
        <v>2020</v>
      </c>
      <c r="D136" s="37"/>
      <c r="E136" s="38"/>
      <c r="F136" s="38"/>
      <c r="G136" s="195">
        <f t="shared" si="11"/>
        <v>0</v>
      </c>
      <c r="H136" s="185"/>
      <c r="I136" s="185"/>
      <c r="J136" s="185"/>
      <c r="K136" s="185"/>
      <c r="L136" s="185"/>
      <c r="M136" s="185"/>
      <c r="N136" s="185"/>
    </row>
    <row r="137" spans="1:16" ht="17.25" customHeight="1" thickBot="1">
      <c r="A137" s="1856"/>
      <c r="B137" s="1857"/>
      <c r="C137" s="113" t="s">
        <v>13</v>
      </c>
      <c r="D137" s="139">
        <f>SUM(D131:D136)</f>
        <v>107</v>
      </c>
      <c r="E137" s="139">
        <f t="shared" ref="E137:F137" si="12">SUM(E131:E136)</f>
        <v>0</v>
      </c>
      <c r="F137" s="139">
        <f t="shared" si="12"/>
        <v>0</v>
      </c>
      <c r="G137" s="196">
        <f>SUM(G131:G136)</f>
        <v>107</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050" t="s">
        <v>91</v>
      </c>
      <c r="B142" s="2048" t="s">
        <v>179</v>
      </c>
      <c r="C142" s="2043" t="s">
        <v>9</v>
      </c>
      <c r="D142" s="554" t="s">
        <v>92</v>
      </c>
      <c r="E142" s="555"/>
      <c r="F142" s="555"/>
      <c r="G142" s="555"/>
      <c r="H142" s="555"/>
      <c r="I142" s="556"/>
      <c r="J142" s="2044" t="s">
        <v>93</v>
      </c>
      <c r="K142" s="2045"/>
      <c r="L142" s="2045"/>
      <c r="M142" s="2045"/>
      <c r="N142" s="2046"/>
      <c r="O142" s="165"/>
      <c r="P142" s="165"/>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c r="B144" s="1899"/>
      <c r="C144" s="106">
        <v>2014</v>
      </c>
      <c r="D144" s="30"/>
      <c r="E144" s="30"/>
      <c r="F144" s="31"/>
      <c r="G144" s="175"/>
      <c r="H144" s="175"/>
      <c r="I144" s="213">
        <f>D144+F144+G144+H144</f>
        <v>0</v>
      </c>
      <c r="J144" s="214"/>
      <c r="K144" s="215"/>
      <c r="L144" s="214"/>
      <c r="M144" s="215"/>
      <c r="N144" s="216"/>
      <c r="O144" s="165"/>
      <c r="P144" s="165"/>
    </row>
    <row r="145" spans="1:16" ht="19.5" customHeight="1">
      <c r="A145" s="1891"/>
      <c r="B145" s="1899"/>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1891"/>
      <c r="B146" s="1899"/>
      <c r="C146" s="110">
        <v>2016</v>
      </c>
      <c r="D146" s="37"/>
      <c r="E146" s="37"/>
      <c r="F146" s="38"/>
      <c r="G146" s="178"/>
      <c r="H146" s="178"/>
      <c r="I146" s="213">
        <f t="shared" si="13"/>
        <v>0</v>
      </c>
      <c r="J146" s="217"/>
      <c r="K146" s="218"/>
      <c r="L146" s="217"/>
      <c r="M146" s="218"/>
      <c r="N146" s="219"/>
      <c r="O146" s="165"/>
      <c r="P146" s="165"/>
    </row>
    <row r="147" spans="1:16" ht="17.25" customHeight="1">
      <c r="A147" s="1891"/>
      <c r="B147" s="1899"/>
      <c r="C147" s="110">
        <v>2017</v>
      </c>
      <c r="D147" s="37"/>
      <c r="E147" s="37"/>
      <c r="F147" s="38"/>
      <c r="G147" s="178"/>
      <c r="H147" s="178"/>
      <c r="I147" s="213">
        <f t="shared" si="13"/>
        <v>0</v>
      </c>
      <c r="J147" s="217"/>
      <c r="K147" s="218"/>
      <c r="L147" s="217"/>
      <c r="M147" s="218"/>
      <c r="N147" s="219"/>
      <c r="O147" s="165"/>
      <c r="P147" s="165"/>
    </row>
    <row r="148" spans="1:16" ht="19.5" customHeight="1">
      <c r="A148" s="1891"/>
      <c r="B148" s="1899"/>
      <c r="C148" s="110">
        <v>2018</v>
      </c>
      <c r="D148" s="37"/>
      <c r="E148" s="37"/>
      <c r="F148" s="38"/>
      <c r="G148" s="178"/>
      <c r="H148" s="178"/>
      <c r="I148" s="213">
        <f t="shared" si="13"/>
        <v>0</v>
      </c>
      <c r="J148" s="217"/>
      <c r="K148" s="218"/>
      <c r="L148" s="217"/>
      <c r="M148" s="218"/>
      <c r="N148" s="219"/>
      <c r="O148" s="165"/>
      <c r="P148" s="165"/>
    </row>
    <row r="149" spans="1:16" ht="19.5" customHeight="1">
      <c r="A149" s="1891"/>
      <c r="B149" s="1899"/>
      <c r="C149" s="110">
        <v>2019</v>
      </c>
      <c r="D149" s="37"/>
      <c r="E149" s="37"/>
      <c r="F149" s="38"/>
      <c r="G149" s="178"/>
      <c r="H149" s="178"/>
      <c r="I149" s="213">
        <f t="shared" si="13"/>
        <v>0</v>
      </c>
      <c r="J149" s="217"/>
      <c r="K149" s="218"/>
      <c r="L149" s="217"/>
      <c r="M149" s="218"/>
      <c r="N149" s="219"/>
      <c r="O149" s="165"/>
      <c r="P149" s="165"/>
    </row>
    <row r="150" spans="1:16" ht="18.75" customHeight="1">
      <c r="A150" s="1891"/>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2047" t="s">
        <v>105</v>
      </c>
      <c r="B153" s="2048" t="s">
        <v>179</v>
      </c>
      <c r="C153" s="2049" t="s">
        <v>9</v>
      </c>
      <c r="D153" s="557" t="s">
        <v>106</v>
      </c>
      <c r="E153" s="557"/>
      <c r="F153" s="558"/>
      <c r="G153" s="558"/>
      <c r="H153" s="557" t="s">
        <v>107</v>
      </c>
      <c r="I153" s="557"/>
      <c r="J153" s="559"/>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1898"/>
      <c r="B155" s="1899"/>
      <c r="C155" s="233">
        <v>2014</v>
      </c>
      <c r="D155" s="214"/>
      <c r="E155" s="175"/>
      <c r="F155" s="215"/>
      <c r="G155" s="213">
        <f>SUM(D155:F155)</f>
        <v>0</v>
      </c>
      <c r="H155" s="214"/>
      <c r="I155" s="175"/>
      <c r="J155" s="176"/>
      <c r="O155" s="165"/>
      <c r="P155" s="165"/>
    </row>
    <row r="156" spans="1:16" ht="19.5" customHeight="1">
      <c r="A156" s="1891"/>
      <c r="B156" s="1899"/>
      <c r="C156" s="234">
        <v>2015</v>
      </c>
      <c r="D156" s="217"/>
      <c r="E156" s="178"/>
      <c r="F156" s="218"/>
      <c r="G156" s="213">
        <f t="shared" ref="G156:G161" si="15">SUM(D156:F156)</f>
        <v>0</v>
      </c>
      <c r="H156" s="217"/>
      <c r="I156" s="178"/>
      <c r="J156" s="179"/>
      <c r="O156" s="165"/>
      <c r="P156" s="165"/>
    </row>
    <row r="157" spans="1:16" ht="17.25" customHeight="1">
      <c r="A157" s="1891"/>
      <c r="B157" s="1899"/>
      <c r="C157" s="234">
        <v>2016</v>
      </c>
      <c r="D157" s="217"/>
      <c r="E157" s="178"/>
      <c r="F157" s="218"/>
      <c r="G157" s="213">
        <f t="shared" si="15"/>
        <v>0</v>
      </c>
      <c r="H157" s="217"/>
      <c r="I157" s="178"/>
      <c r="J157" s="179"/>
      <c r="O157" s="165"/>
      <c r="P157" s="165"/>
    </row>
    <row r="158" spans="1:16" ht="15" customHeight="1">
      <c r="A158" s="1891"/>
      <c r="B158" s="1899"/>
      <c r="C158" s="234">
        <v>2017</v>
      </c>
      <c r="D158" s="217"/>
      <c r="E158" s="178"/>
      <c r="F158" s="218"/>
      <c r="G158" s="213">
        <f t="shared" si="15"/>
        <v>0</v>
      </c>
      <c r="H158" s="217"/>
      <c r="I158" s="178"/>
      <c r="J158" s="179"/>
      <c r="O158" s="165"/>
      <c r="P158" s="165"/>
    </row>
    <row r="159" spans="1:16" ht="19.5" customHeight="1">
      <c r="A159" s="1891"/>
      <c r="B159" s="1899"/>
      <c r="C159" s="234">
        <v>2018</v>
      </c>
      <c r="D159" s="217"/>
      <c r="E159" s="178"/>
      <c r="F159" s="218"/>
      <c r="G159" s="213">
        <f t="shared" si="15"/>
        <v>0</v>
      </c>
      <c r="H159" s="217"/>
      <c r="I159" s="178"/>
      <c r="J159" s="179"/>
      <c r="O159" s="165"/>
      <c r="P159" s="165"/>
    </row>
    <row r="160" spans="1:16" ht="15" customHeight="1">
      <c r="A160" s="1891"/>
      <c r="B160" s="1899"/>
      <c r="C160" s="234">
        <v>2019</v>
      </c>
      <c r="D160" s="217"/>
      <c r="E160" s="178"/>
      <c r="F160" s="218"/>
      <c r="G160" s="213">
        <f t="shared" si="15"/>
        <v>0</v>
      </c>
      <c r="H160" s="217"/>
      <c r="I160" s="178"/>
      <c r="J160" s="179"/>
      <c r="O160" s="165"/>
      <c r="P160" s="165"/>
    </row>
    <row r="161" spans="1:18" ht="17.25" customHeight="1">
      <c r="A161" s="1891"/>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560"/>
      <c r="F163" s="165"/>
      <c r="G163" s="165"/>
      <c r="H163" s="165"/>
      <c r="I163" s="165"/>
      <c r="J163" s="241"/>
      <c r="K163" s="242"/>
    </row>
    <row r="164" spans="1:18" ht="95.25" customHeight="1">
      <c r="A164" s="243" t="s">
        <v>115</v>
      </c>
      <c r="B164" s="405" t="s">
        <v>181</v>
      </c>
      <c r="C164" s="245" t="s">
        <v>9</v>
      </c>
      <c r="D164" s="246" t="s">
        <v>117</v>
      </c>
      <c r="E164" s="246" t="s">
        <v>118</v>
      </c>
      <c r="F164" s="561" t="s">
        <v>119</v>
      </c>
      <c r="G164" s="246" t="s">
        <v>120</v>
      </c>
      <c r="H164" s="246" t="s">
        <v>121</v>
      </c>
      <c r="I164" s="248" t="s">
        <v>122</v>
      </c>
      <c r="J164" s="249" t="s">
        <v>123</v>
      </c>
      <c r="K164" s="249" t="s">
        <v>124</v>
      </c>
      <c r="L164" s="406"/>
    </row>
    <row r="165" spans="1:18" ht="15.75" customHeight="1">
      <c r="A165" s="1878"/>
      <c r="B165" s="1879"/>
      <c r="C165" s="251">
        <v>2014</v>
      </c>
      <c r="D165" s="175"/>
      <c r="E165" s="175"/>
      <c r="F165" s="175"/>
      <c r="G165" s="175"/>
      <c r="H165" s="175"/>
      <c r="I165" s="176"/>
      <c r="J165" s="252">
        <f>SUM(D165,F165,H165)</f>
        <v>0</v>
      </c>
      <c r="K165" s="253">
        <f>SUM(E165,G165,I165)</f>
        <v>0</v>
      </c>
      <c r="L165" s="406"/>
    </row>
    <row r="166" spans="1:18">
      <c r="A166" s="1880"/>
      <c r="B166" s="1881"/>
      <c r="C166" s="254">
        <v>2015</v>
      </c>
      <c r="D166" s="255"/>
      <c r="E166" s="255"/>
      <c r="F166" s="255"/>
      <c r="G166" s="255"/>
      <c r="H166" s="255"/>
      <c r="I166" s="256"/>
      <c r="J166" s="407">
        <f t="shared" ref="J166:K171" si="17">SUM(D166,F166,H166)</f>
        <v>0</v>
      </c>
      <c r="K166" s="408">
        <f t="shared" si="17"/>
        <v>0</v>
      </c>
      <c r="L166" s="406"/>
    </row>
    <row r="167" spans="1:18">
      <c r="A167" s="1880"/>
      <c r="B167" s="1881"/>
      <c r="C167" s="254">
        <v>2016</v>
      </c>
      <c r="D167" s="255"/>
      <c r="E167" s="255"/>
      <c r="F167" s="255"/>
      <c r="G167" s="255"/>
      <c r="H167" s="255"/>
      <c r="I167" s="256"/>
      <c r="J167" s="407">
        <f t="shared" si="17"/>
        <v>0</v>
      </c>
      <c r="K167" s="408">
        <f t="shared" si="17"/>
        <v>0</v>
      </c>
    </row>
    <row r="168" spans="1:18">
      <c r="A168" s="1880"/>
      <c r="B168" s="1881"/>
      <c r="C168" s="254">
        <v>2017</v>
      </c>
      <c r="D168" s="255"/>
      <c r="E168" s="165"/>
      <c r="F168" s="255"/>
      <c r="G168" s="255"/>
      <c r="H168" s="255"/>
      <c r="I168" s="256"/>
      <c r="J168" s="407">
        <f t="shared" si="17"/>
        <v>0</v>
      </c>
      <c r="K168" s="408">
        <f t="shared" si="17"/>
        <v>0</v>
      </c>
    </row>
    <row r="169" spans="1:18">
      <c r="A169" s="1880"/>
      <c r="B169" s="1881"/>
      <c r="C169" s="262">
        <v>2018</v>
      </c>
      <c r="D169" s="255"/>
      <c r="E169" s="255"/>
      <c r="F169" s="255"/>
      <c r="G169" s="263"/>
      <c r="H169" s="255"/>
      <c r="I169" s="256"/>
      <c r="J169" s="407">
        <f t="shared" si="17"/>
        <v>0</v>
      </c>
      <c r="K169" s="408">
        <f t="shared" si="17"/>
        <v>0</v>
      </c>
      <c r="L169" s="406"/>
    </row>
    <row r="170" spans="1:18">
      <c r="A170" s="1880"/>
      <c r="B170" s="1881"/>
      <c r="C170" s="254">
        <v>2019</v>
      </c>
      <c r="D170" s="165"/>
      <c r="E170" s="255"/>
      <c r="F170" s="255"/>
      <c r="G170" s="255"/>
      <c r="H170" s="263"/>
      <c r="I170" s="256"/>
      <c r="J170" s="407">
        <f t="shared" si="17"/>
        <v>0</v>
      </c>
      <c r="K170" s="408">
        <f t="shared" si="17"/>
        <v>0</v>
      </c>
      <c r="L170" s="406"/>
    </row>
    <row r="171" spans="1:18">
      <c r="A171" s="1880"/>
      <c r="B171" s="1881"/>
      <c r="C171" s="262">
        <v>2020</v>
      </c>
      <c r="D171" s="255"/>
      <c r="E171" s="255"/>
      <c r="F171" s="255"/>
      <c r="G171" s="255"/>
      <c r="H171" s="255"/>
      <c r="I171" s="256"/>
      <c r="J171" s="407">
        <f t="shared" si="17"/>
        <v>0</v>
      </c>
      <c r="K171" s="408">
        <f t="shared" si="17"/>
        <v>0</v>
      </c>
      <c r="L171" s="406"/>
    </row>
    <row r="172" spans="1:18" ht="41.25" customHeight="1" thickBot="1">
      <c r="A172" s="1882"/>
      <c r="B172" s="1883"/>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406"/>
    </row>
    <row r="173" spans="1:18" s="65" customFormat="1" ht="26.2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21.75" thickBot="1">
      <c r="A175" s="272"/>
      <c r="B175" s="272"/>
    </row>
    <row r="176" spans="1:18" s="56" customFormat="1" ht="22.5" customHeight="1" thickBot="1">
      <c r="A176" s="2039" t="s">
        <v>127</v>
      </c>
      <c r="B176" s="2037" t="s">
        <v>182</v>
      </c>
      <c r="C176" s="2040" t="s">
        <v>9</v>
      </c>
      <c r="D176" s="273" t="s">
        <v>128</v>
      </c>
      <c r="E176" s="562"/>
      <c r="F176" s="562"/>
      <c r="G176" s="563"/>
      <c r="H176" s="276"/>
      <c r="I176" s="1888" t="s">
        <v>129</v>
      </c>
      <c r="J176" s="2041"/>
      <c r="K176" s="2041"/>
      <c r="L176" s="2041"/>
      <c r="M176" s="2041"/>
      <c r="N176" s="2041"/>
      <c r="O176" s="2042"/>
    </row>
    <row r="177" spans="1:15" s="56" customFormat="1" ht="129.7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15" customHeight="1">
      <c r="A178" s="1898" t="s">
        <v>258</v>
      </c>
      <c r="B178" s="1899"/>
      <c r="C178" s="106">
        <v>2014</v>
      </c>
      <c r="D178" s="30"/>
      <c r="E178" s="31"/>
      <c r="F178" s="31"/>
      <c r="G178" s="284">
        <f>SUM(D178:F178)</f>
        <v>0</v>
      </c>
      <c r="H178" s="155"/>
      <c r="I178" s="155"/>
      <c r="J178" s="31"/>
      <c r="K178" s="31"/>
      <c r="L178" s="31"/>
      <c r="M178" s="31"/>
      <c r="N178" s="31"/>
      <c r="O178" s="34"/>
    </row>
    <row r="179" spans="1:15">
      <c r="A179" s="1891"/>
      <c r="B179" s="1899"/>
      <c r="C179" s="110">
        <v>2015</v>
      </c>
      <c r="D179" s="37">
        <v>2</v>
      </c>
      <c r="E179" s="38">
        <v>4</v>
      </c>
      <c r="F179" s="38">
        <v>2</v>
      </c>
      <c r="G179" s="284">
        <f t="shared" ref="G179:G184" si="19">SUM(D179:F179)</f>
        <v>8</v>
      </c>
      <c r="H179" s="592">
        <v>18</v>
      </c>
      <c r="I179" s="590">
        <v>2</v>
      </c>
      <c r="J179" s="578">
        <v>2</v>
      </c>
      <c r="K179" s="578"/>
      <c r="L179" s="578">
        <v>1</v>
      </c>
      <c r="M179" s="578">
        <v>3</v>
      </c>
      <c r="N179" s="345"/>
      <c r="O179" s="593"/>
    </row>
    <row r="180" spans="1:15">
      <c r="A180" s="1891"/>
      <c r="B180" s="1899"/>
      <c r="C180" s="110">
        <v>2016</v>
      </c>
      <c r="D180" s="584">
        <v>16</v>
      </c>
      <c r="E180" s="578">
        <v>6</v>
      </c>
      <c r="F180" s="38">
        <v>1</v>
      </c>
      <c r="G180" s="284">
        <f t="shared" si="19"/>
        <v>23</v>
      </c>
      <c r="H180" s="592">
        <f>26+56</f>
        <v>82</v>
      </c>
      <c r="I180" s="586"/>
      <c r="J180" s="342">
        <v>5</v>
      </c>
      <c r="K180" s="342">
        <v>4</v>
      </c>
      <c r="L180" s="342">
        <f>3+4</f>
        <v>7</v>
      </c>
      <c r="M180" s="342">
        <v>6</v>
      </c>
      <c r="N180" s="578"/>
      <c r="O180" s="397">
        <v>1</v>
      </c>
    </row>
    <row r="181" spans="1:15">
      <c r="A181" s="1891"/>
      <c r="B181" s="1899"/>
      <c r="C181" s="110">
        <v>2017</v>
      </c>
      <c r="D181" s="37">
        <v>30</v>
      </c>
      <c r="E181" s="38">
        <v>10</v>
      </c>
      <c r="F181" s="38">
        <v>4</v>
      </c>
      <c r="G181" s="284">
        <f t="shared" si="19"/>
        <v>44</v>
      </c>
      <c r="H181" s="594">
        <v>86</v>
      </c>
      <c r="I181" s="112"/>
      <c r="J181" s="578">
        <v>17</v>
      </c>
      <c r="K181" s="578">
        <v>1</v>
      </c>
      <c r="L181" s="578">
        <v>17</v>
      </c>
      <c r="M181" s="578">
        <v>7</v>
      </c>
      <c r="N181" s="38"/>
      <c r="O181" s="88">
        <v>2</v>
      </c>
    </row>
    <row r="182" spans="1:15">
      <c r="A182" s="1891"/>
      <c r="B182" s="1899"/>
      <c r="C182" s="110">
        <v>2018</v>
      </c>
      <c r="D182" s="37"/>
      <c r="E182" s="38"/>
      <c r="F182" s="38"/>
      <c r="G182" s="284">
        <f t="shared" si="19"/>
        <v>0</v>
      </c>
      <c r="H182" s="411"/>
      <c r="I182" s="112"/>
      <c r="J182" s="38"/>
      <c r="K182" s="38"/>
      <c r="L182" s="38"/>
      <c r="M182" s="38"/>
      <c r="N182" s="38"/>
      <c r="O182" s="88"/>
    </row>
    <row r="183" spans="1:15">
      <c r="A183" s="1891"/>
      <c r="B183" s="1899"/>
      <c r="C183" s="110">
        <v>2019</v>
      </c>
      <c r="D183" s="37"/>
      <c r="E183" s="38"/>
      <c r="F183" s="38"/>
      <c r="G183" s="284">
        <f t="shared" si="19"/>
        <v>0</v>
      </c>
      <c r="H183" s="411"/>
      <c r="I183" s="112"/>
      <c r="J183" s="38"/>
      <c r="K183" s="38"/>
      <c r="L183" s="38"/>
      <c r="M183" s="38"/>
      <c r="N183" s="38"/>
      <c r="O183" s="88"/>
    </row>
    <row r="184" spans="1:15">
      <c r="A184" s="1891"/>
      <c r="B184" s="1899"/>
      <c r="C184" s="110">
        <v>2020</v>
      </c>
      <c r="D184" s="37"/>
      <c r="E184" s="38"/>
      <c r="F184" s="38"/>
      <c r="G184" s="284">
        <f t="shared" si="19"/>
        <v>0</v>
      </c>
      <c r="H184" s="411"/>
      <c r="I184" s="112"/>
      <c r="J184" s="38"/>
      <c r="K184" s="38"/>
      <c r="L184" s="38"/>
      <c r="M184" s="38"/>
      <c r="N184" s="38"/>
      <c r="O184" s="88"/>
    </row>
    <row r="185" spans="1:15" ht="45" customHeight="1" thickBot="1">
      <c r="A185" s="1893"/>
      <c r="B185" s="1900"/>
      <c r="C185" s="113" t="s">
        <v>13</v>
      </c>
      <c r="D185" s="139">
        <f>SUM(D178:D184)</f>
        <v>48</v>
      </c>
      <c r="E185" s="116">
        <f>SUM(E178:E184)</f>
        <v>20</v>
      </c>
      <c r="F185" s="116">
        <f>SUM(F178:F184)</f>
        <v>7</v>
      </c>
      <c r="G185" s="220">
        <f t="shared" ref="G185:O185" si="20">SUM(G178:G184)</f>
        <v>75</v>
      </c>
      <c r="H185" s="285">
        <f t="shared" si="20"/>
        <v>186</v>
      </c>
      <c r="I185" s="115">
        <f t="shared" si="20"/>
        <v>2</v>
      </c>
      <c r="J185" s="116">
        <f t="shared" si="20"/>
        <v>24</v>
      </c>
      <c r="K185" s="116">
        <f t="shared" si="20"/>
        <v>5</v>
      </c>
      <c r="L185" s="116">
        <f t="shared" si="20"/>
        <v>25</v>
      </c>
      <c r="M185" s="116">
        <f t="shared" si="20"/>
        <v>16</v>
      </c>
      <c r="N185" s="116">
        <f t="shared" si="20"/>
        <v>0</v>
      </c>
      <c r="O185" s="117">
        <f t="shared" si="20"/>
        <v>3</v>
      </c>
    </row>
    <row r="186" spans="1:15" ht="33" customHeight="1" thickBot="1"/>
    <row r="187" spans="1:15" ht="19.5" customHeight="1">
      <c r="A187" s="1861" t="s">
        <v>137</v>
      </c>
      <c r="B187" s="2037" t="s">
        <v>182</v>
      </c>
      <c r="C187" s="1865" t="s">
        <v>9</v>
      </c>
      <c r="D187" s="1867" t="s">
        <v>138</v>
      </c>
      <c r="E187" s="2038"/>
      <c r="F187" s="2038"/>
      <c r="G187" s="1869"/>
      <c r="H187" s="1870"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5" customHeight="1">
      <c r="A189" s="1872" t="s">
        <v>259</v>
      </c>
      <c r="B189" s="2075"/>
      <c r="C189" s="290">
        <v>2014</v>
      </c>
      <c r="D189" s="133"/>
      <c r="E189" s="109"/>
      <c r="F189" s="109"/>
      <c r="G189" s="291">
        <f>SUM(D189:F189)</f>
        <v>0</v>
      </c>
      <c r="H189" s="108"/>
      <c r="I189" s="109"/>
      <c r="J189" s="109"/>
      <c r="K189" s="109"/>
      <c r="L189" s="134"/>
    </row>
    <row r="190" spans="1:15">
      <c r="A190" s="1874"/>
      <c r="B190" s="2076"/>
      <c r="C190" s="73">
        <v>2015</v>
      </c>
      <c r="D190" s="37">
        <v>182</v>
      </c>
      <c r="E190" s="38">
        <v>118</v>
      </c>
      <c r="F190" s="339">
        <v>176</v>
      </c>
      <c r="G190" s="291">
        <f t="shared" ref="G190:G195" si="21">SUM(D190:F190)</f>
        <v>476</v>
      </c>
      <c r="H190" s="112"/>
      <c r="I190" s="38">
        <v>173</v>
      </c>
      <c r="J190" s="38"/>
      <c r="K190" s="38"/>
      <c r="L190" s="88">
        <v>303</v>
      </c>
    </row>
    <row r="191" spans="1:15">
      <c r="A191" s="1874"/>
      <c r="B191" s="2076"/>
      <c r="C191" s="73">
        <v>2016</v>
      </c>
      <c r="D191" s="460">
        <v>2980</v>
      </c>
      <c r="E191" s="342">
        <v>161</v>
      </c>
      <c r="F191" s="339">
        <v>258</v>
      </c>
      <c r="G191" s="291">
        <f t="shared" si="21"/>
        <v>3399</v>
      </c>
      <c r="H191" s="112"/>
      <c r="I191" s="578">
        <v>226</v>
      </c>
      <c r="J191" s="578"/>
      <c r="K191" s="578"/>
      <c r="L191" s="397">
        <v>3173</v>
      </c>
    </row>
    <row r="192" spans="1:15">
      <c r="A192" s="1874"/>
      <c r="B192" s="2076"/>
      <c r="C192" s="73">
        <v>2017</v>
      </c>
      <c r="D192" s="595">
        <v>2121</v>
      </c>
      <c r="E192" s="38">
        <v>231</v>
      </c>
      <c r="F192" s="38">
        <f>262+75</f>
        <v>337</v>
      </c>
      <c r="G192" s="291">
        <f t="shared" si="21"/>
        <v>2689</v>
      </c>
      <c r="H192" s="112"/>
      <c r="I192" s="580">
        <v>306</v>
      </c>
      <c r="J192" s="580">
        <v>120</v>
      </c>
      <c r="K192" s="596"/>
      <c r="L192" s="396">
        <v>2263</v>
      </c>
    </row>
    <row r="193" spans="1:14">
      <c r="A193" s="1874"/>
      <c r="B193" s="2076"/>
      <c r="C193" s="73">
        <v>2018</v>
      </c>
      <c r="D193" s="37"/>
      <c r="E193" s="38"/>
      <c r="F193" s="38"/>
      <c r="G193" s="291">
        <f t="shared" si="21"/>
        <v>0</v>
      </c>
      <c r="H193" s="112"/>
      <c r="I193" s="38"/>
      <c r="J193" s="38"/>
      <c r="K193" s="38"/>
      <c r="L193" s="88"/>
    </row>
    <row r="194" spans="1:14">
      <c r="A194" s="1874"/>
      <c r="B194" s="2076"/>
      <c r="C194" s="73">
        <v>2019</v>
      </c>
      <c r="D194" s="37"/>
      <c r="E194" s="38"/>
      <c r="F194" s="38"/>
      <c r="G194" s="291">
        <f t="shared" si="21"/>
        <v>0</v>
      </c>
      <c r="H194" s="112"/>
      <c r="I194" s="38"/>
      <c r="J194" s="38"/>
      <c r="K194" s="38"/>
      <c r="L194" s="88"/>
    </row>
    <row r="195" spans="1:14">
      <c r="A195" s="1874"/>
      <c r="B195" s="2076"/>
      <c r="C195" s="73">
        <v>2020</v>
      </c>
      <c r="D195" s="37"/>
      <c r="E195" s="38"/>
      <c r="F195" s="38"/>
      <c r="G195" s="291">
        <f t="shared" si="21"/>
        <v>0</v>
      </c>
      <c r="H195" s="112"/>
      <c r="I195" s="38"/>
      <c r="J195" s="38"/>
      <c r="K195" s="38"/>
      <c r="L195" s="88"/>
    </row>
    <row r="196" spans="1:14" ht="15.75" thickBot="1">
      <c r="A196" s="1876"/>
      <c r="B196" s="2077"/>
      <c r="C196" s="136" t="s">
        <v>13</v>
      </c>
      <c r="D196" s="139">
        <f t="shared" ref="D196:L196" si="22">SUM(D189:D195)</f>
        <v>5283</v>
      </c>
      <c r="E196" s="116">
        <f t="shared" si="22"/>
        <v>510</v>
      </c>
      <c r="F196" s="116">
        <f t="shared" si="22"/>
        <v>771</v>
      </c>
      <c r="G196" s="292">
        <f t="shared" si="22"/>
        <v>6564</v>
      </c>
      <c r="H196" s="115">
        <f t="shared" si="22"/>
        <v>0</v>
      </c>
      <c r="I196" s="116">
        <f t="shared" si="22"/>
        <v>705</v>
      </c>
      <c r="J196" s="116">
        <f t="shared" si="22"/>
        <v>120</v>
      </c>
      <c r="K196" s="116">
        <f t="shared" si="22"/>
        <v>0</v>
      </c>
      <c r="L196" s="117">
        <f t="shared" si="22"/>
        <v>5739</v>
      </c>
    </row>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569" t="s">
        <v>150</v>
      </c>
      <c r="B201" s="417" t="s">
        <v>182</v>
      </c>
      <c r="C201" s="298" t="s">
        <v>9</v>
      </c>
      <c r="D201" s="299" t="s">
        <v>151</v>
      </c>
      <c r="E201" s="300" t="s">
        <v>152</v>
      </c>
      <c r="F201" s="300" t="s">
        <v>153</v>
      </c>
      <c r="G201" s="298" t="s">
        <v>154</v>
      </c>
      <c r="H201" s="570" t="s">
        <v>155</v>
      </c>
      <c r="I201" s="302" t="s">
        <v>156</v>
      </c>
      <c r="J201" s="303" t="s">
        <v>157</v>
      </c>
      <c r="K201" s="300" t="s">
        <v>158</v>
      </c>
      <c r="L201" s="304" t="s">
        <v>159</v>
      </c>
    </row>
    <row r="202" spans="1:14" ht="15" customHeight="1">
      <c r="A202" s="1854"/>
      <c r="B202" s="1855"/>
      <c r="C202" s="72">
        <v>2014</v>
      </c>
      <c r="D202" s="30"/>
      <c r="E202" s="31"/>
      <c r="F202" s="31"/>
      <c r="G202" s="29"/>
      <c r="H202" s="305"/>
      <c r="I202" s="306"/>
      <c r="J202" s="307"/>
      <c r="K202" s="31"/>
      <c r="L202" s="34"/>
    </row>
    <row r="203" spans="1:14">
      <c r="A203" s="1854"/>
      <c r="B203" s="1855"/>
      <c r="C203" s="73">
        <v>2015</v>
      </c>
      <c r="D203" s="37"/>
      <c r="E203" s="38"/>
      <c r="F203" s="38"/>
      <c r="G203" s="36"/>
      <c r="H203" s="308"/>
      <c r="I203" s="309"/>
      <c r="J203" s="310"/>
      <c r="K203" s="38"/>
      <c r="L203" s="88"/>
    </row>
    <row r="204" spans="1:14">
      <c r="A204" s="1854"/>
      <c r="B204" s="1855"/>
      <c r="C204" s="73">
        <v>2016</v>
      </c>
      <c r="D204" s="37"/>
      <c r="E204" s="38"/>
      <c r="F204" s="38"/>
      <c r="G204" s="36"/>
      <c r="H204" s="308"/>
      <c r="I204" s="309"/>
      <c r="J204" s="310">
        <v>1</v>
      </c>
      <c r="K204" s="38">
        <v>15</v>
      </c>
      <c r="L204" s="88"/>
    </row>
    <row r="205" spans="1:14">
      <c r="A205" s="1854"/>
      <c r="B205" s="1855"/>
      <c r="C205" s="73">
        <v>2017</v>
      </c>
      <c r="D205" s="37"/>
      <c r="E205" s="38"/>
      <c r="F205" s="38"/>
      <c r="G205" s="36"/>
      <c r="H205" s="308"/>
      <c r="I205" s="309"/>
      <c r="J205" s="310"/>
      <c r="K205" s="38"/>
      <c r="L205" s="88"/>
    </row>
    <row r="206" spans="1:14">
      <c r="A206" s="1854"/>
      <c r="B206" s="1855"/>
      <c r="C206" s="73">
        <v>2018</v>
      </c>
      <c r="D206" s="37"/>
      <c r="E206" s="38"/>
      <c r="F206" s="38"/>
      <c r="G206" s="36"/>
      <c r="H206" s="308"/>
      <c r="I206" s="309"/>
      <c r="J206" s="310"/>
      <c r="K206" s="38"/>
      <c r="L206" s="88"/>
    </row>
    <row r="207" spans="1:14">
      <c r="A207" s="1854"/>
      <c r="B207" s="1855"/>
      <c r="C207" s="73">
        <v>2019</v>
      </c>
      <c r="D207" s="37"/>
      <c r="E207" s="38"/>
      <c r="F207" s="38"/>
      <c r="G207" s="36"/>
      <c r="H207" s="308"/>
      <c r="I207" s="309"/>
      <c r="J207" s="310"/>
      <c r="K207" s="38"/>
      <c r="L207" s="88"/>
    </row>
    <row r="208" spans="1:14">
      <c r="A208" s="1854"/>
      <c r="B208" s="1855"/>
      <c r="C208" s="73">
        <v>2020</v>
      </c>
      <c r="D208" s="311"/>
      <c r="E208" s="312"/>
      <c r="F208" s="312"/>
      <c r="G208" s="313"/>
      <c r="H208" s="314"/>
      <c r="I208" s="315"/>
      <c r="J208" s="316"/>
      <c r="K208" s="312"/>
      <c r="L208" s="317"/>
    </row>
    <row r="209" spans="1:12" ht="20.25" customHeight="1" thickBot="1">
      <c r="A209" s="1856"/>
      <c r="B209" s="1857"/>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1</v>
      </c>
      <c r="K209" s="139">
        <f t="shared" si="23"/>
        <v>15</v>
      </c>
      <c r="L209" s="139">
        <f t="shared" si="23"/>
        <v>0</v>
      </c>
    </row>
    <row r="211" spans="1:12" ht="15.75" thickBot="1"/>
    <row r="212" spans="1:12" ht="29.25">
      <c r="A212" s="571" t="s">
        <v>161</v>
      </c>
      <c r="B212" s="322" t="s">
        <v>162</v>
      </c>
      <c r="C212" s="323">
        <v>2014</v>
      </c>
      <c r="D212" s="324">
        <v>2015</v>
      </c>
      <c r="E212" s="324">
        <v>2016</v>
      </c>
      <c r="F212" s="324">
        <v>2017</v>
      </c>
      <c r="G212" s="324">
        <v>2018</v>
      </c>
      <c r="H212" s="324">
        <v>2019</v>
      </c>
      <c r="I212" s="325">
        <v>2020</v>
      </c>
    </row>
    <row r="213" spans="1:12" ht="15" customHeight="1">
      <c r="A213" t="s">
        <v>163</v>
      </c>
      <c r="B213" s="1973" t="s">
        <v>260</v>
      </c>
      <c r="C213" s="72"/>
      <c r="D213" s="447">
        <f>D214+D215+D216+D217</f>
        <v>882825.39</v>
      </c>
      <c r="E213" s="597">
        <f>E214+E215+E216+E217</f>
        <v>2199221.87</v>
      </c>
      <c r="F213" s="447">
        <f>F214+F215+F216+F217</f>
        <v>1249837.01</v>
      </c>
      <c r="G213" s="135"/>
      <c r="H213" s="135"/>
      <c r="I213" s="326"/>
    </row>
    <row r="214" spans="1:12">
      <c r="A214" t="s">
        <v>164</v>
      </c>
      <c r="B214" s="1974"/>
      <c r="C214" s="72"/>
      <c r="D214" s="328">
        <f>420374.29+126907.1</f>
        <v>547281.39</v>
      </c>
      <c r="E214" s="447">
        <f>574560.64+366670.8</f>
        <v>941231.44</v>
      </c>
      <c r="F214" s="447">
        <v>467363.84000000003</v>
      </c>
      <c r="G214" s="135"/>
      <c r="H214" s="135"/>
      <c r="I214" s="326"/>
    </row>
    <row r="215" spans="1:12">
      <c r="A215" t="s">
        <v>165</v>
      </c>
      <c r="B215" s="1974"/>
      <c r="C215" s="72"/>
      <c r="D215">
        <v>0</v>
      </c>
      <c r="E215" s="598">
        <v>0</v>
      </c>
      <c r="F215" s="447">
        <v>0</v>
      </c>
      <c r="G215" s="135"/>
      <c r="H215" s="135"/>
      <c r="I215" s="326"/>
    </row>
    <row r="216" spans="1:12">
      <c r="A216" t="s">
        <v>166</v>
      </c>
      <c r="B216" s="1974"/>
      <c r="C216" s="72"/>
      <c r="D216" s="328">
        <v>335544</v>
      </c>
      <c r="E216" s="447">
        <v>692052.78</v>
      </c>
      <c r="F216" s="447">
        <f>105278.93+126873.06+41952.85+15301.3</f>
        <v>289406.13999999996</v>
      </c>
      <c r="G216" s="135"/>
      <c r="H216" s="135"/>
      <c r="I216" s="326"/>
    </row>
    <row r="217" spans="1:12">
      <c r="A217" t="s">
        <v>167</v>
      </c>
      <c r="B217" s="1974"/>
      <c r="C217" s="72"/>
      <c r="D217" s="599">
        <v>0</v>
      </c>
      <c r="E217" s="598">
        <v>565937.65</v>
      </c>
      <c r="F217" s="447">
        <v>493067.03</v>
      </c>
      <c r="G217" s="135"/>
      <c r="H217" s="135"/>
      <c r="I217" s="326"/>
    </row>
    <row r="218" spans="1:12" ht="30">
      <c r="A218" s="56" t="s">
        <v>168</v>
      </c>
      <c r="B218" s="1974"/>
      <c r="C218" s="72"/>
      <c r="D218" s="328">
        <v>297319.63</v>
      </c>
      <c r="E218" s="598">
        <f>788329.52-4428</f>
        <v>783901.52</v>
      </c>
      <c r="F218" s="328">
        <f>735312.07+2427+43964.16+56863.2</f>
        <v>838566.42999999993</v>
      </c>
      <c r="G218" s="135"/>
      <c r="H218" s="135"/>
      <c r="I218" s="326"/>
    </row>
    <row r="219" spans="1:12" ht="164.25" customHeight="1" thickBot="1">
      <c r="A219" s="331"/>
      <c r="B219" s="1975"/>
      <c r="C219" s="42" t="s">
        <v>13</v>
      </c>
      <c r="D219" s="332">
        <f>D214+D215+D216+D217+D218</f>
        <v>1180145.02</v>
      </c>
      <c r="E219" s="332">
        <f>E214+E215+E216+E217+E218</f>
        <v>2983123.39</v>
      </c>
      <c r="F219" s="332">
        <f t="shared" ref="F219:I219" si="24">SUM(F214:F218)</f>
        <v>2088403.44</v>
      </c>
      <c r="G219" s="333">
        <f t="shared" si="24"/>
        <v>0</v>
      </c>
      <c r="H219" s="333">
        <f t="shared" si="24"/>
        <v>0</v>
      </c>
      <c r="I219" s="61">
        <f t="shared" si="24"/>
        <v>0</v>
      </c>
      <c r="J219" s="406"/>
    </row>
    <row r="220" spans="1:12" ht="164.25" customHeight="1"/>
    <row r="221" spans="1:12" ht="11.25" customHeight="1"/>
    <row r="222" spans="1:12" hidden="1"/>
    <row r="223" spans="1:12" hidden="1"/>
    <row r="224" spans="1:12" hidden="1"/>
    <row r="225" spans="1:1" hidden="1"/>
    <row r="226" spans="1:1" hidden="1"/>
    <row r="227" spans="1:1" hidden="1">
      <c r="A227" s="56"/>
    </row>
    <row r="228" spans="1:1" hidden="1"/>
    <row r="229" spans="1:1" hidden="1"/>
    <row r="230" spans="1:1" hidden="1"/>
    <row r="231" spans="1:1" hidden="1"/>
    <row r="233" spans="1:1" ht="14.25" customHeight="1"/>
    <row r="234" spans="1:1" hidden="1"/>
    <row r="235" spans="1:1" hidden="1"/>
    <row r="236" spans="1:1" hidden="1"/>
    <row r="237" spans="1:1" hidden="1"/>
    <row r="238" spans="1:1" hidden="1"/>
    <row r="239" spans="1:1" hidden="1"/>
    <row r="240" spans="1:1" hidden="1"/>
    <row r="241" hidden="1"/>
    <row r="243" hidden="1"/>
    <row r="244" hidden="1"/>
    <row r="245" hidden="1"/>
    <row r="246" hidden="1"/>
    <row r="247" hidden="1"/>
    <row r="248" hidden="1"/>
    <row r="249" hidden="1"/>
    <row r="345" ht="11.25" customHeight="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9"/>
  <sheetViews>
    <sheetView topLeftCell="A13" zoomScale="70" zoomScaleNormal="70" workbookViewId="0">
      <selection activeCell="H18" sqref="H18:O18"/>
    </sheetView>
  </sheetViews>
  <sheetFormatPr defaultColWidth="8.85546875" defaultRowHeight="15"/>
  <cols>
    <col min="1" max="1" width="91" customWidth="1"/>
    <col min="2" max="2" width="29.42578125" customWidth="1"/>
    <col min="3" max="3" width="16.140625" customWidth="1"/>
    <col min="4" max="7" width="17.7109375" customWidth="1"/>
    <col min="8" max="8" width="14.42578125" customWidth="1"/>
    <col min="9" max="9" width="16.7109375" customWidth="1"/>
    <col min="10" max="10" width="15.85546875" customWidth="1"/>
    <col min="11" max="11" width="17.42578125" customWidth="1"/>
    <col min="12" max="12" width="15.42578125" customWidth="1"/>
    <col min="13" max="13" width="14.5703125" customWidth="1"/>
    <col min="14" max="14" width="14" customWidth="1"/>
    <col min="15" max="15" width="13.5703125" customWidth="1"/>
    <col min="16" max="25" width="13.7109375" customWidth="1"/>
  </cols>
  <sheetData>
    <row r="1" spans="1:25" s="1" customFormat="1" ht="31.5">
      <c r="A1" s="334" t="s">
        <v>0</v>
      </c>
      <c r="B1" s="1943" t="s">
        <v>261</v>
      </c>
      <c r="C1" s="1944"/>
      <c r="D1" s="1944"/>
      <c r="E1" s="1944"/>
      <c r="F1" s="1944"/>
    </row>
    <row r="2" spans="1:25" s="1" customFormat="1" ht="20.100000000000001" customHeight="1" thickBot="1"/>
    <row r="3" spans="1:25" s="4" customFormat="1" ht="20.100000000000001" customHeight="1">
      <c r="A3" s="488" t="s">
        <v>2</v>
      </c>
      <c r="B3" s="489"/>
      <c r="C3" s="489"/>
      <c r="D3" s="489"/>
      <c r="E3" s="489"/>
      <c r="F3" s="2010"/>
      <c r="G3" s="2010"/>
      <c r="H3" s="2010"/>
      <c r="I3" s="2010"/>
      <c r="J3" s="2010"/>
      <c r="K3" s="2010"/>
      <c r="L3" s="2010"/>
      <c r="M3" s="2010"/>
      <c r="N3" s="2010"/>
      <c r="O3" s="2011"/>
    </row>
    <row r="4" spans="1:25" s="4" customFormat="1" ht="20.100000000000001" customHeight="1">
      <c r="A4" s="1947" t="s">
        <v>170</v>
      </c>
      <c r="B4" s="1948"/>
      <c r="C4" s="1948"/>
      <c r="D4" s="1948"/>
      <c r="E4" s="1948"/>
      <c r="F4" s="1948"/>
      <c r="G4" s="1948"/>
      <c r="H4" s="1948"/>
      <c r="I4" s="1948"/>
      <c r="J4" s="1948"/>
      <c r="K4" s="1948"/>
      <c r="L4" s="1948"/>
      <c r="M4" s="1948"/>
      <c r="N4" s="1948"/>
      <c r="O4" s="1949"/>
    </row>
    <row r="5" spans="1:25" s="4" customFormat="1" ht="20.100000000000001" customHeight="1">
      <c r="A5" s="1947"/>
      <c r="B5" s="1948"/>
      <c r="C5" s="1948"/>
      <c r="D5" s="1948"/>
      <c r="E5" s="1948"/>
      <c r="F5" s="1948"/>
      <c r="G5" s="1948"/>
      <c r="H5" s="1948"/>
      <c r="I5" s="1948"/>
      <c r="J5" s="1948"/>
      <c r="K5" s="1948"/>
      <c r="L5" s="1948"/>
      <c r="M5" s="1948"/>
      <c r="N5" s="1948"/>
      <c r="O5" s="1949"/>
      <c r="P5" s="4" t="s">
        <v>262</v>
      </c>
    </row>
    <row r="6" spans="1:25" s="4" customFormat="1" ht="20.100000000000001" customHeight="1">
      <c r="A6" s="1947"/>
      <c r="B6" s="1948"/>
      <c r="C6" s="1948"/>
      <c r="D6" s="1948"/>
      <c r="E6" s="1948"/>
      <c r="F6" s="1948"/>
      <c r="G6" s="1948"/>
      <c r="H6" s="1948"/>
      <c r="I6" s="1948"/>
      <c r="J6" s="1948"/>
      <c r="K6" s="1948"/>
      <c r="L6" s="1948"/>
      <c r="M6" s="1948"/>
      <c r="N6" s="1948"/>
      <c r="O6" s="1949"/>
    </row>
    <row r="7" spans="1:25" s="4" customFormat="1" ht="20.100000000000001" customHeight="1">
      <c r="A7" s="1947"/>
      <c r="B7" s="1948"/>
      <c r="C7" s="1948"/>
      <c r="D7" s="1948"/>
      <c r="E7" s="1948"/>
      <c r="F7" s="1948"/>
      <c r="G7" s="1948"/>
      <c r="H7" s="1948"/>
      <c r="I7" s="1948"/>
      <c r="J7" s="1948"/>
      <c r="K7" s="1948"/>
      <c r="L7" s="1948"/>
      <c r="M7" s="1948"/>
      <c r="N7" s="1948"/>
      <c r="O7" s="1949"/>
    </row>
    <row r="8" spans="1:25" s="4" customFormat="1" ht="20.100000000000001" customHeight="1">
      <c r="A8" s="1947"/>
      <c r="B8" s="1948"/>
      <c r="C8" s="1948"/>
      <c r="D8" s="1948"/>
      <c r="E8" s="1948"/>
      <c r="F8" s="1948"/>
      <c r="G8" s="1948"/>
      <c r="H8" s="1948"/>
      <c r="I8" s="1948"/>
      <c r="J8" s="1948"/>
      <c r="K8" s="1948"/>
      <c r="L8" s="1948"/>
      <c r="M8" s="1948"/>
      <c r="N8" s="1948"/>
      <c r="O8" s="1949"/>
    </row>
    <row r="9" spans="1:25" s="4" customFormat="1" ht="20.100000000000001" customHeight="1">
      <c r="A9" s="1947"/>
      <c r="B9" s="1948"/>
      <c r="C9" s="1948"/>
      <c r="D9" s="1948"/>
      <c r="E9" s="1948"/>
      <c r="F9" s="1948"/>
      <c r="G9" s="1948"/>
      <c r="H9" s="1948"/>
      <c r="I9" s="1948"/>
      <c r="J9" s="1948"/>
      <c r="K9" s="1948"/>
      <c r="L9" s="1948"/>
      <c r="M9" s="1948"/>
      <c r="N9" s="1948"/>
      <c r="O9" s="1949"/>
    </row>
    <row r="10" spans="1:25" s="4" customFormat="1" ht="87" customHeight="1" thickBot="1">
      <c r="A10" s="1950"/>
      <c r="B10" s="1951"/>
      <c r="C10" s="1951"/>
      <c r="D10" s="1951"/>
      <c r="E10" s="1951"/>
      <c r="F10" s="1951"/>
      <c r="G10" s="1951"/>
      <c r="H10" s="1951"/>
      <c r="I10" s="1951"/>
      <c r="J10" s="1951"/>
      <c r="K10" s="1951"/>
      <c r="L10" s="1951"/>
      <c r="M10" s="1951"/>
      <c r="N10" s="1951"/>
      <c r="O10" s="1952"/>
    </row>
    <row r="11" spans="1:25" s="1" customFormat="1" ht="20.100000000000001" customHeight="1"/>
    <row r="13" spans="1:25" ht="21">
      <c r="A13" s="5" t="s">
        <v>4</v>
      </c>
      <c r="B13" s="5"/>
      <c r="C13" s="6"/>
      <c r="D13" s="6"/>
      <c r="E13" s="6"/>
      <c r="F13" s="6"/>
      <c r="G13" s="6"/>
      <c r="H13" s="6"/>
      <c r="I13" s="6"/>
      <c r="J13" s="6"/>
      <c r="K13" s="6"/>
      <c r="L13" s="6"/>
      <c r="M13" s="6"/>
      <c r="N13" s="6"/>
      <c r="O13" s="6"/>
    </row>
    <row r="14" spans="1:25" ht="15.75" thickBot="1">
      <c r="P14" s="7"/>
      <c r="Q14" s="7"/>
      <c r="R14" s="7"/>
      <c r="S14" s="7"/>
      <c r="T14" s="7"/>
      <c r="U14" s="7"/>
      <c r="V14" s="7"/>
      <c r="W14" s="7"/>
      <c r="X14" s="7"/>
    </row>
    <row r="15" spans="1:25" s="51" customFormat="1" ht="22.5" customHeight="1">
      <c r="A15" s="515"/>
      <c r="B15" s="516"/>
      <c r="C15" s="10"/>
      <c r="D15" s="1953" t="s">
        <v>5</v>
      </c>
      <c r="E15" s="2012"/>
      <c r="F15" s="2012"/>
      <c r="G15" s="2012"/>
      <c r="H15" s="11"/>
      <c r="I15" s="12" t="s">
        <v>6</v>
      </c>
      <c r="J15" s="13"/>
      <c r="K15" s="13"/>
      <c r="L15" s="13"/>
      <c r="M15" s="13"/>
      <c r="N15" s="13"/>
      <c r="O15" s="14"/>
      <c r="P15" s="15"/>
      <c r="Q15" s="16"/>
      <c r="R15" s="17"/>
      <c r="S15" s="17"/>
      <c r="T15" s="17"/>
      <c r="U15" s="17"/>
      <c r="V15" s="17"/>
      <c r="W15" s="15"/>
      <c r="X15" s="15"/>
      <c r="Y15" s="16"/>
    </row>
    <row r="16" spans="1:25" s="56" customFormat="1" ht="129" customHeight="1">
      <c r="A16" s="18" t="s">
        <v>7</v>
      </c>
      <c r="B16" s="335" t="s">
        <v>171</v>
      </c>
      <c r="C16" s="20" t="s">
        <v>9</v>
      </c>
      <c r="D16" s="21" t="s">
        <v>10</v>
      </c>
      <c r="E16" s="22" t="s">
        <v>11</v>
      </c>
      <c r="F16" s="22" t="s">
        <v>12</v>
      </c>
      <c r="G16" s="23" t="s">
        <v>13</v>
      </c>
      <c r="H16" s="24" t="s">
        <v>14</v>
      </c>
      <c r="I16" s="25" t="s">
        <v>15</v>
      </c>
      <c r="J16" s="25" t="s">
        <v>16</v>
      </c>
      <c r="K16" s="25" t="s">
        <v>17</v>
      </c>
      <c r="L16" s="25" t="s">
        <v>18</v>
      </c>
      <c r="M16" s="26" t="s">
        <v>19</v>
      </c>
      <c r="N16" s="25" t="s">
        <v>20</v>
      </c>
      <c r="O16" s="27" t="s">
        <v>21</v>
      </c>
      <c r="P16" s="28"/>
      <c r="Q16" s="28"/>
      <c r="R16" s="28"/>
      <c r="S16" s="28"/>
      <c r="T16" s="28"/>
      <c r="U16" s="28"/>
      <c r="V16" s="28"/>
      <c r="W16" s="28"/>
      <c r="X16" s="28"/>
      <c r="Y16" s="28"/>
    </row>
    <row r="17" spans="1:25" ht="39" customHeight="1">
      <c r="A17" s="1874" t="s">
        <v>263</v>
      </c>
      <c r="B17" s="1855"/>
      <c r="C17" s="29">
        <v>2014</v>
      </c>
      <c r="D17" s="30"/>
      <c r="E17" s="31"/>
      <c r="F17" s="31"/>
      <c r="G17" s="32">
        <f t="shared" ref="G17:G23" si="0">SUM(D17:F17)</f>
        <v>0</v>
      </c>
      <c r="H17" s="33"/>
      <c r="I17" s="31"/>
      <c r="J17" s="31"/>
      <c r="K17" s="31"/>
      <c r="L17" s="31"/>
      <c r="M17" s="31"/>
      <c r="N17" s="31"/>
      <c r="O17" s="34"/>
      <c r="P17" s="35"/>
      <c r="Q17" s="35"/>
      <c r="R17" s="35"/>
      <c r="S17" s="35"/>
      <c r="T17" s="35"/>
      <c r="U17" s="35"/>
      <c r="V17" s="35"/>
      <c r="W17" s="35"/>
      <c r="X17" s="35"/>
      <c r="Y17" s="35"/>
    </row>
    <row r="18" spans="1:25" ht="71.25" customHeight="1">
      <c r="A18" s="1854"/>
      <c r="B18" s="1855"/>
      <c r="C18" s="36">
        <v>2015</v>
      </c>
      <c r="D18" s="37">
        <v>7</v>
      </c>
      <c r="E18" s="38"/>
      <c r="F18" s="38">
        <v>3</v>
      </c>
      <c r="G18" s="32">
        <f>SUM(D18:F18)</f>
        <v>10</v>
      </c>
      <c r="H18" s="39"/>
      <c r="I18" s="38">
        <v>1</v>
      </c>
      <c r="J18" s="38">
        <v>1</v>
      </c>
      <c r="K18" s="38"/>
      <c r="L18" s="38">
        <v>3</v>
      </c>
      <c r="M18" s="38"/>
      <c r="N18" s="38"/>
      <c r="O18" s="40">
        <v>5</v>
      </c>
      <c r="P18" s="35"/>
      <c r="Q18" s="35"/>
      <c r="R18" s="35"/>
      <c r="S18" s="35"/>
      <c r="T18" s="35"/>
      <c r="U18" s="35"/>
      <c r="V18" s="35"/>
      <c r="W18" s="35"/>
      <c r="X18" s="35"/>
      <c r="Y18" s="35"/>
    </row>
    <row r="19" spans="1:25" ht="71.25" customHeight="1">
      <c r="A19" s="1854"/>
      <c r="B19" s="1855"/>
      <c r="C19" s="36">
        <v>2016</v>
      </c>
      <c r="D19" s="37">
        <v>40</v>
      </c>
      <c r="E19" s="38">
        <v>3</v>
      </c>
      <c r="F19" s="38">
        <v>12</v>
      </c>
      <c r="G19" s="32">
        <f t="shared" si="0"/>
        <v>55</v>
      </c>
      <c r="H19" s="39"/>
      <c r="I19" s="38">
        <v>2</v>
      </c>
      <c r="J19" s="38">
        <v>3</v>
      </c>
      <c r="K19" s="38">
        <v>42</v>
      </c>
      <c r="L19" s="38">
        <v>5</v>
      </c>
      <c r="M19" s="38"/>
      <c r="N19" s="38"/>
      <c r="O19" s="40">
        <v>3</v>
      </c>
      <c r="P19" s="35"/>
      <c r="Q19" s="35"/>
      <c r="R19" s="35"/>
      <c r="S19" s="35"/>
      <c r="T19" s="35"/>
      <c r="U19" s="35"/>
      <c r="V19" s="35"/>
      <c r="W19" s="35"/>
      <c r="X19" s="35"/>
      <c r="Y19" s="35"/>
    </row>
    <row r="20" spans="1:25" ht="71.25" customHeight="1">
      <c r="A20" s="1854"/>
      <c r="B20" s="1855"/>
      <c r="C20" s="36">
        <v>2017</v>
      </c>
      <c r="D20" s="37">
        <v>30</v>
      </c>
      <c r="E20" s="38">
        <v>1</v>
      </c>
      <c r="F20" s="38">
        <v>7</v>
      </c>
      <c r="G20" s="32">
        <f t="shared" si="0"/>
        <v>38</v>
      </c>
      <c r="H20" s="39">
        <v>1</v>
      </c>
      <c r="I20" s="38">
        <v>3</v>
      </c>
      <c r="J20" s="38">
        <v>1</v>
      </c>
      <c r="K20" s="38">
        <v>26</v>
      </c>
      <c r="L20" s="38">
        <v>5</v>
      </c>
      <c r="M20" s="38"/>
      <c r="N20" s="38"/>
      <c r="O20" s="40">
        <v>2</v>
      </c>
      <c r="P20" s="35"/>
      <c r="Q20" s="35"/>
      <c r="R20" s="35"/>
      <c r="S20" s="35"/>
      <c r="T20" s="35"/>
      <c r="U20" s="35"/>
      <c r="V20" s="35"/>
      <c r="W20" s="35"/>
      <c r="X20" s="35"/>
      <c r="Y20" s="35"/>
    </row>
    <row r="21" spans="1:25" ht="71.25" customHeight="1">
      <c r="A21" s="1854"/>
      <c r="B21" s="1855"/>
      <c r="C21" s="36">
        <v>2018</v>
      </c>
      <c r="D21" s="37"/>
      <c r="E21" s="38"/>
      <c r="F21" s="38"/>
      <c r="G21" s="32">
        <f t="shared" si="0"/>
        <v>0</v>
      </c>
      <c r="H21" s="39"/>
      <c r="I21" s="38"/>
      <c r="J21" s="38"/>
      <c r="K21" s="38"/>
      <c r="L21" s="38"/>
      <c r="M21" s="38"/>
      <c r="N21" s="38"/>
      <c r="O21" s="40"/>
      <c r="P21" s="35"/>
      <c r="Q21" s="35"/>
      <c r="R21" s="35"/>
      <c r="S21" s="35"/>
      <c r="T21" s="35"/>
      <c r="U21" s="35"/>
      <c r="V21" s="35"/>
      <c r="W21" s="35"/>
      <c r="X21" s="35"/>
      <c r="Y21" s="35"/>
    </row>
    <row r="22" spans="1:25" ht="71.25" customHeight="1">
      <c r="A22" s="1854"/>
      <c r="B22" s="1855"/>
      <c r="C22" s="41">
        <v>2019</v>
      </c>
      <c r="D22" s="37"/>
      <c r="E22" s="38"/>
      <c r="F22" s="38"/>
      <c r="G22" s="32">
        <f>SUM(D22:F22)</f>
        <v>0</v>
      </c>
      <c r="H22" s="39"/>
      <c r="I22" s="38"/>
      <c r="J22" s="38"/>
      <c r="K22" s="38"/>
      <c r="L22" s="38"/>
      <c r="M22" s="38"/>
      <c r="N22" s="38"/>
      <c r="O22" s="40"/>
      <c r="P22" s="35"/>
      <c r="Q22" s="35"/>
      <c r="R22" s="35"/>
      <c r="S22" s="35"/>
      <c r="T22" s="35"/>
      <c r="U22" s="35"/>
      <c r="V22" s="35"/>
      <c r="W22" s="35"/>
      <c r="X22" s="35"/>
      <c r="Y22" s="35"/>
    </row>
    <row r="23" spans="1:25" ht="71.25" customHeight="1">
      <c r="A23" s="1854"/>
      <c r="B23" s="1855"/>
      <c r="C23" s="36">
        <v>2020</v>
      </c>
      <c r="D23" s="37"/>
      <c r="E23" s="38"/>
      <c r="F23" s="38"/>
      <c r="G23" s="32">
        <f t="shared" si="0"/>
        <v>0</v>
      </c>
      <c r="H23" s="39"/>
      <c r="I23" s="38"/>
      <c r="J23" s="38"/>
      <c r="K23" s="38"/>
      <c r="L23" s="38"/>
      <c r="M23" s="38"/>
      <c r="N23" s="38"/>
      <c r="O23" s="40"/>
      <c r="P23" s="35"/>
      <c r="Q23" s="35"/>
      <c r="R23" s="35"/>
      <c r="S23" s="35"/>
      <c r="T23" s="35"/>
      <c r="U23" s="35"/>
      <c r="V23" s="35"/>
      <c r="W23" s="35"/>
      <c r="X23" s="35"/>
      <c r="Y23" s="35"/>
    </row>
    <row r="24" spans="1:25" ht="115.5" customHeight="1" thickBot="1">
      <c r="A24" s="1856"/>
      <c r="B24" s="1857"/>
      <c r="C24" s="42" t="s">
        <v>13</v>
      </c>
      <c r="D24" s="43">
        <f>SUM(D17:D23)</f>
        <v>77</v>
      </c>
      <c r="E24" s="44">
        <f>SUM(E17:E23)</f>
        <v>4</v>
      </c>
      <c r="F24" s="44">
        <f>SUM(F17:F23)</f>
        <v>22</v>
      </c>
      <c r="G24" s="45">
        <f>SUM(D24:F24)</f>
        <v>103</v>
      </c>
      <c r="H24" s="46">
        <f>SUM(H17:H23)</f>
        <v>1</v>
      </c>
      <c r="I24" s="47">
        <f>SUM(I17:I23)</f>
        <v>6</v>
      </c>
      <c r="J24" s="47">
        <f t="shared" ref="J24:N24" si="1">SUM(J17:J23)</f>
        <v>5</v>
      </c>
      <c r="K24" s="47">
        <f t="shared" si="1"/>
        <v>68</v>
      </c>
      <c r="L24" s="47">
        <f t="shared" si="1"/>
        <v>13</v>
      </c>
      <c r="M24" s="47">
        <f t="shared" si="1"/>
        <v>0</v>
      </c>
      <c r="N24" s="47">
        <f t="shared" si="1"/>
        <v>0</v>
      </c>
      <c r="O24" s="48">
        <f>SUM(O17:O23)</f>
        <v>10</v>
      </c>
      <c r="P24" s="35"/>
      <c r="Q24" s="35"/>
      <c r="R24" s="35"/>
      <c r="S24" s="35"/>
      <c r="T24" s="35"/>
      <c r="U24" s="35"/>
      <c r="V24" s="35"/>
      <c r="W24" s="35"/>
      <c r="X24" s="35"/>
      <c r="Y24" s="35"/>
    </row>
    <row r="25" spans="1:25" ht="15.75" thickBot="1">
      <c r="C25" s="49"/>
      <c r="H25" s="7"/>
      <c r="I25" s="7"/>
      <c r="J25" s="7"/>
      <c r="K25" s="7"/>
      <c r="L25" s="7"/>
      <c r="M25" s="7"/>
      <c r="N25" s="7"/>
      <c r="O25" s="7"/>
      <c r="P25" s="7"/>
      <c r="Q25" s="7"/>
    </row>
    <row r="26" spans="1:25" s="51" customFormat="1" ht="30.75" customHeight="1">
      <c r="A26" s="515"/>
      <c r="B26" s="516"/>
      <c r="C26" s="50"/>
      <c r="D26" s="1959" t="s">
        <v>5</v>
      </c>
      <c r="E26" s="2071"/>
      <c r="F26" s="2071"/>
      <c r="G26" s="2072"/>
      <c r="H26" s="15"/>
      <c r="I26" s="16"/>
      <c r="J26" s="17"/>
      <c r="K26" s="17"/>
      <c r="L26" s="17"/>
      <c r="M26" s="17"/>
      <c r="N26" s="17"/>
      <c r="O26" s="15"/>
      <c r="P26" s="15"/>
    </row>
    <row r="27" spans="1:25" s="56" customFormat="1" ht="93" customHeight="1">
      <c r="A27" s="348" t="s">
        <v>23</v>
      </c>
      <c r="B27" s="335" t="s">
        <v>171</v>
      </c>
      <c r="C27" s="53" t="s">
        <v>9</v>
      </c>
      <c r="D27" s="54" t="s">
        <v>10</v>
      </c>
      <c r="E27" s="22" t="s">
        <v>11</v>
      </c>
      <c r="F27" s="22" t="s">
        <v>12</v>
      </c>
      <c r="G27" s="55" t="s">
        <v>13</v>
      </c>
      <c r="H27" s="28"/>
      <c r="I27" s="28"/>
      <c r="J27" s="28"/>
      <c r="K27" s="28"/>
      <c r="L27" s="28"/>
      <c r="M27" s="28"/>
      <c r="N27" s="28"/>
      <c r="O27" s="28"/>
      <c r="P27" s="28"/>
      <c r="Q27" s="51"/>
    </row>
    <row r="28" spans="1:25" ht="47.25" customHeight="1">
      <c r="A28" s="1874" t="s">
        <v>264</v>
      </c>
      <c r="B28" s="1855"/>
      <c r="C28" s="57">
        <v>2014</v>
      </c>
      <c r="D28" s="33"/>
      <c r="E28" s="31"/>
      <c r="F28" s="31"/>
      <c r="G28" s="58">
        <f>SUM(D28:F28)</f>
        <v>0</v>
      </c>
      <c r="H28" s="35"/>
      <c r="I28" s="35"/>
      <c r="J28" s="35"/>
      <c r="K28" s="35"/>
      <c r="L28" s="35"/>
      <c r="M28" s="35"/>
      <c r="N28" s="35"/>
      <c r="O28" s="35"/>
      <c r="P28" s="35"/>
      <c r="Q28" s="7"/>
    </row>
    <row r="29" spans="1:25" ht="47.25" customHeight="1">
      <c r="A29" s="1854"/>
      <c r="B29" s="1855"/>
      <c r="C29" s="59">
        <v>2015</v>
      </c>
      <c r="D29" s="433">
        <v>881</v>
      </c>
      <c r="E29" s="89"/>
      <c r="F29" s="89">
        <v>51051</v>
      </c>
      <c r="G29" s="434">
        <f t="shared" ref="G29:G35" si="2">SUM(D29:F29)</f>
        <v>51932</v>
      </c>
      <c r="H29" s="35"/>
      <c r="I29" s="35"/>
      <c r="J29" s="35"/>
      <c r="K29" s="35"/>
      <c r="L29" s="35"/>
      <c r="M29" s="35"/>
      <c r="N29" s="35"/>
      <c r="O29" s="35"/>
      <c r="P29" s="35"/>
      <c r="Q29" s="7"/>
    </row>
    <row r="30" spans="1:25" ht="47.25" customHeight="1">
      <c r="A30" s="1854"/>
      <c r="B30" s="1855"/>
      <c r="C30" s="59">
        <v>2016</v>
      </c>
      <c r="D30" s="433">
        <v>18369</v>
      </c>
      <c r="E30" s="89">
        <v>4850</v>
      </c>
      <c r="F30" s="89">
        <v>365500</v>
      </c>
      <c r="G30" s="434">
        <f t="shared" si="2"/>
        <v>388719</v>
      </c>
      <c r="H30" s="35"/>
      <c r="I30" s="35"/>
      <c r="J30" s="35"/>
      <c r="K30" s="35"/>
      <c r="L30" s="35"/>
      <c r="M30" s="35"/>
      <c r="N30" s="35"/>
      <c r="O30" s="35"/>
      <c r="P30" s="35"/>
      <c r="Q30" s="7"/>
    </row>
    <row r="31" spans="1:25" ht="47.25" customHeight="1">
      <c r="A31" s="1854"/>
      <c r="B31" s="1855"/>
      <c r="C31" s="59">
        <v>2017</v>
      </c>
      <c r="D31" s="433">
        <v>35268</v>
      </c>
      <c r="E31" s="89">
        <v>4000</v>
      </c>
      <c r="F31" s="92">
        <v>185855</v>
      </c>
      <c r="G31" s="434">
        <f t="shared" si="2"/>
        <v>225123</v>
      </c>
      <c r="H31" s="35"/>
      <c r="I31" s="35"/>
      <c r="J31" s="35"/>
      <c r="K31" s="35"/>
      <c r="L31" s="35"/>
      <c r="M31" s="35"/>
      <c r="N31" s="35"/>
      <c r="O31" s="35"/>
      <c r="P31" s="35"/>
      <c r="Q31" s="7"/>
    </row>
    <row r="32" spans="1:25" ht="47.25" customHeight="1">
      <c r="A32" s="1854"/>
      <c r="B32" s="1855"/>
      <c r="C32" s="59">
        <v>2018</v>
      </c>
      <c r="D32" s="433"/>
      <c r="E32" s="89"/>
      <c r="F32" s="89"/>
      <c r="G32" s="434">
        <f>SUM(D32:F32)</f>
        <v>0</v>
      </c>
      <c r="H32" s="35"/>
      <c r="I32" s="35"/>
      <c r="J32" s="35"/>
      <c r="K32" s="35"/>
      <c r="L32" s="35"/>
      <c r="M32" s="35"/>
      <c r="N32" s="35"/>
      <c r="O32" s="35"/>
      <c r="P32" s="35"/>
      <c r="Q32" s="7"/>
    </row>
    <row r="33" spans="1:17" ht="58.5" customHeight="1">
      <c r="A33" s="1854"/>
      <c r="B33" s="1855"/>
      <c r="C33" s="60">
        <v>2019</v>
      </c>
      <c r="D33" s="433"/>
      <c r="E33" s="89"/>
      <c r="F33" s="89"/>
      <c r="G33" s="434">
        <f t="shared" si="2"/>
        <v>0</v>
      </c>
      <c r="H33" s="35"/>
      <c r="I33" s="35"/>
      <c r="J33" s="35"/>
      <c r="K33" s="35"/>
      <c r="L33" s="35"/>
      <c r="M33" s="35"/>
      <c r="N33" s="35"/>
      <c r="O33" s="35"/>
      <c r="P33" s="35"/>
      <c r="Q33" s="7"/>
    </row>
    <row r="34" spans="1:17" ht="64.5" customHeight="1">
      <c r="A34" s="1854"/>
      <c r="B34" s="1855"/>
      <c r="C34" s="59">
        <v>2020</v>
      </c>
      <c r="D34" s="433"/>
      <c r="E34" s="89"/>
      <c r="F34" s="89"/>
      <c r="G34" s="434">
        <f t="shared" si="2"/>
        <v>0</v>
      </c>
      <c r="H34" s="35"/>
      <c r="I34" s="35"/>
      <c r="J34" s="35"/>
      <c r="K34" s="35"/>
      <c r="L34" s="35"/>
      <c r="M34" s="35"/>
      <c r="N34" s="35"/>
      <c r="O34" s="35"/>
      <c r="P34" s="35"/>
      <c r="Q34" s="7"/>
    </row>
    <row r="35" spans="1:17" ht="124.5" customHeight="1" thickBot="1">
      <c r="A35" s="1856"/>
      <c r="B35" s="1857"/>
      <c r="C35" s="61" t="s">
        <v>13</v>
      </c>
      <c r="D35" s="435">
        <f>SUM(D28:D34)</f>
        <v>54518</v>
      </c>
      <c r="E35" s="94">
        <f>SUM(E28:E34)</f>
        <v>8850</v>
      </c>
      <c r="F35" s="94">
        <f>SUM(F28:F34)</f>
        <v>602406</v>
      </c>
      <c r="G35" s="436">
        <f t="shared" si="2"/>
        <v>665774</v>
      </c>
      <c r="H35" s="35"/>
      <c r="I35" s="35"/>
      <c r="J35" s="35"/>
      <c r="K35" s="35"/>
      <c r="L35" s="35"/>
      <c r="M35" s="35"/>
      <c r="N35" s="35"/>
      <c r="O35" s="35"/>
      <c r="P35" s="35"/>
      <c r="Q35" s="7"/>
    </row>
    <row r="36" spans="1:17">
      <c r="A36" s="62"/>
      <c r="B36" s="62"/>
      <c r="C36" s="49"/>
      <c r="H36" s="7"/>
      <c r="I36" s="7"/>
      <c r="J36" s="7"/>
      <c r="K36" s="7"/>
      <c r="L36" s="7"/>
      <c r="M36" s="7"/>
      <c r="N36" s="7"/>
      <c r="O36" s="7"/>
      <c r="P36" s="7"/>
      <c r="Q36" s="7"/>
    </row>
    <row r="37" spans="1:17" ht="21" customHeight="1">
      <c r="A37" s="63" t="s">
        <v>25</v>
      </c>
      <c r="B37" s="63"/>
      <c r="C37" s="64"/>
      <c r="D37" s="64"/>
      <c r="E37" s="64"/>
      <c r="F37" s="35"/>
      <c r="G37" s="35"/>
      <c r="H37" s="35"/>
      <c r="I37" s="65"/>
      <c r="J37" s="65"/>
      <c r="K37" s="65"/>
    </row>
    <row r="38" spans="1:17" ht="12.75" customHeight="1" thickBot="1">
      <c r="G38" s="35"/>
      <c r="H38" s="35"/>
    </row>
    <row r="39" spans="1:17" ht="88.5" customHeight="1">
      <c r="A39" s="535" t="s">
        <v>26</v>
      </c>
      <c r="B39" s="536" t="s">
        <v>171</v>
      </c>
      <c r="C39" s="68" t="s">
        <v>9</v>
      </c>
      <c r="D39" s="69" t="s">
        <v>28</v>
      </c>
      <c r="E39" s="70" t="s">
        <v>29</v>
      </c>
      <c r="F39" s="71"/>
      <c r="G39" s="28"/>
      <c r="H39" s="28"/>
    </row>
    <row r="40" spans="1:17">
      <c r="A40" s="2084" t="s">
        <v>265</v>
      </c>
      <c r="B40" s="2085"/>
      <c r="C40" s="72">
        <v>2014</v>
      </c>
      <c r="D40" s="30"/>
      <c r="E40" s="29"/>
      <c r="F40" s="7"/>
      <c r="G40" s="35"/>
      <c r="H40" s="35"/>
    </row>
    <row r="41" spans="1:17">
      <c r="A41" s="2086"/>
      <c r="B41" s="2085"/>
      <c r="C41" s="73">
        <v>2015</v>
      </c>
      <c r="D41" s="74">
        <v>8077</v>
      </c>
      <c r="E41" s="75">
        <v>1659</v>
      </c>
      <c r="F41" s="7"/>
      <c r="G41" s="35"/>
      <c r="H41" s="35"/>
    </row>
    <row r="42" spans="1:17">
      <c r="A42" s="2086"/>
      <c r="B42" s="2085"/>
      <c r="C42" s="73">
        <v>2016</v>
      </c>
      <c r="D42" s="74">
        <v>9724</v>
      </c>
      <c r="E42" s="75">
        <v>2646</v>
      </c>
      <c r="F42" s="7"/>
      <c r="G42" s="35"/>
      <c r="H42" s="35"/>
    </row>
    <row r="43" spans="1:17">
      <c r="A43" s="2086"/>
      <c r="B43" s="2085"/>
      <c r="C43" s="73">
        <v>2017</v>
      </c>
      <c r="D43" s="74">
        <v>3717</v>
      </c>
      <c r="E43" s="75">
        <v>1847</v>
      </c>
      <c r="F43" s="7"/>
      <c r="G43" s="35"/>
      <c r="H43" s="35"/>
    </row>
    <row r="44" spans="1:17">
      <c r="A44" s="2086"/>
      <c r="B44" s="2085"/>
      <c r="C44" s="73">
        <v>2018</v>
      </c>
      <c r="D44" s="74"/>
      <c r="E44" s="75"/>
      <c r="F44" s="7"/>
      <c r="G44" s="35"/>
      <c r="H44" s="35"/>
    </row>
    <row r="45" spans="1:17">
      <c r="A45" s="2086"/>
      <c r="B45" s="2085"/>
      <c r="C45" s="73">
        <v>2019</v>
      </c>
      <c r="D45" s="74"/>
      <c r="E45" s="75"/>
      <c r="F45" s="7"/>
      <c r="G45" s="35"/>
      <c r="H45" s="35"/>
    </row>
    <row r="46" spans="1:17">
      <c r="A46" s="2086"/>
      <c r="B46" s="2085"/>
      <c r="C46" s="73">
        <v>2020</v>
      </c>
      <c r="D46" s="74"/>
      <c r="E46" s="75"/>
      <c r="F46" s="7"/>
      <c r="G46" s="35"/>
      <c r="H46" s="35"/>
    </row>
    <row r="47" spans="1:17" ht="15.75" thickBot="1">
      <c r="A47" s="2087"/>
      <c r="B47" s="2088"/>
      <c r="C47" s="42" t="s">
        <v>13</v>
      </c>
      <c r="D47" s="76">
        <f>SUM(D40:D46)</f>
        <v>21518</v>
      </c>
      <c r="E47" s="77">
        <f>SUM(E40:E46)</f>
        <v>6152</v>
      </c>
      <c r="F47" s="78"/>
      <c r="G47" s="35"/>
      <c r="H47" s="35"/>
    </row>
    <row r="48" spans="1:17" s="35" customFormat="1" ht="15.75" thickBot="1">
      <c r="A48" s="539"/>
      <c r="B48" s="80"/>
      <c r="C48" s="81"/>
    </row>
    <row r="49" spans="1:15" ht="83.25" customHeight="1">
      <c r="A49" s="82" t="s">
        <v>32</v>
      </c>
      <c r="B49" s="536" t="s">
        <v>171</v>
      </c>
      <c r="C49" s="84" t="s">
        <v>9</v>
      </c>
      <c r="D49" s="69" t="s">
        <v>34</v>
      </c>
      <c r="E49" s="85" t="s">
        <v>35</v>
      </c>
      <c r="F49" s="85" t="s">
        <v>36</v>
      </c>
      <c r="G49" s="85" t="s">
        <v>37</v>
      </c>
      <c r="H49" s="85" t="s">
        <v>38</v>
      </c>
      <c r="I49" s="85" t="s">
        <v>39</v>
      </c>
      <c r="J49" s="85" t="s">
        <v>40</v>
      </c>
      <c r="K49" s="86" t="s">
        <v>41</v>
      </c>
    </row>
    <row r="50" spans="1:15" ht="17.25" customHeight="1">
      <c r="A50" s="1872" t="s">
        <v>266</v>
      </c>
      <c r="B50" s="1879"/>
      <c r="C50" s="87" t="s">
        <v>43</v>
      </c>
      <c r="D50" s="30"/>
      <c r="E50" s="31"/>
      <c r="F50" s="31"/>
      <c r="G50" s="31"/>
      <c r="H50" s="31"/>
      <c r="I50" s="31"/>
      <c r="J50" s="31"/>
      <c r="K50" s="34"/>
    </row>
    <row r="51" spans="1:15" ht="15" customHeight="1">
      <c r="A51" s="1874"/>
      <c r="B51" s="1881"/>
      <c r="C51" s="73">
        <v>2014</v>
      </c>
      <c r="D51" s="37"/>
      <c r="E51" s="38"/>
      <c r="F51" s="38"/>
      <c r="G51" s="38"/>
      <c r="H51" s="38"/>
      <c r="I51" s="38"/>
      <c r="J51" s="38"/>
      <c r="K51" s="88"/>
    </row>
    <row r="52" spans="1:15">
      <c r="A52" s="1874"/>
      <c r="B52" s="1881"/>
      <c r="C52" s="73">
        <v>2015</v>
      </c>
      <c r="D52" s="37"/>
      <c r="E52" s="38"/>
      <c r="F52" s="38"/>
      <c r="G52" s="38"/>
      <c r="H52" s="38"/>
      <c r="I52" s="38"/>
      <c r="J52" s="38"/>
      <c r="K52" s="88"/>
    </row>
    <row r="53" spans="1:15">
      <c r="A53" s="1874"/>
      <c r="B53" s="1881"/>
      <c r="C53" s="73">
        <v>2016</v>
      </c>
      <c r="D53" s="37"/>
      <c r="E53" s="38"/>
      <c r="F53" s="38"/>
      <c r="G53" s="38"/>
      <c r="H53" s="38"/>
      <c r="I53" s="38"/>
      <c r="J53" s="38"/>
      <c r="K53" s="88"/>
    </row>
    <row r="54" spans="1:15">
      <c r="A54" s="1874"/>
      <c r="B54" s="1881"/>
      <c r="C54" s="73">
        <v>2017</v>
      </c>
      <c r="D54" s="37"/>
      <c r="E54" s="38"/>
      <c r="F54" s="38"/>
      <c r="G54" s="38"/>
      <c r="H54" s="38"/>
      <c r="I54" s="38"/>
      <c r="J54" s="38"/>
      <c r="K54" s="88"/>
    </row>
    <row r="55" spans="1:15">
      <c r="A55" s="1874"/>
      <c r="B55" s="1881"/>
      <c r="C55" s="73">
        <v>2018</v>
      </c>
      <c r="D55" s="37"/>
      <c r="E55" s="38"/>
      <c r="F55" s="38"/>
      <c r="G55" s="38"/>
      <c r="H55" s="38"/>
      <c r="I55" s="38"/>
      <c r="J55" s="38"/>
      <c r="K55" s="88"/>
    </row>
    <row r="56" spans="1:15">
      <c r="A56" s="1874"/>
      <c r="B56" s="1881"/>
      <c r="C56" s="73">
        <v>2019</v>
      </c>
      <c r="D56" s="37"/>
      <c r="E56" s="38"/>
      <c r="F56" s="38"/>
      <c r="G56" s="38"/>
      <c r="H56" s="38"/>
      <c r="I56" s="38"/>
      <c r="J56" s="38"/>
      <c r="K56" s="88"/>
    </row>
    <row r="57" spans="1:15">
      <c r="A57" s="1874"/>
      <c r="B57" s="1881"/>
      <c r="C57" s="73">
        <v>2020</v>
      </c>
      <c r="D57" s="37"/>
      <c r="E57" s="38"/>
      <c r="F57" s="38"/>
      <c r="G57" s="38"/>
      <c r="H57" s="38"/>
      <c r="I57" s="38"/>
      <c r="J57" s="38"/>
      <c r="K57" s="93"/>
    </row>
    <row r="58" spans="1:15" ht="20.25" customHeight="1" thickBot="1">
      <c r="A58" s="1876"/>
      <c r="B58" s="1883"/>
      <c r="C58" s="42" t="s">
        <v>13</v>
      </c>
      <c r="D58" s="43">
        <f>SUM(D51:D57)</f>
        <v>0</v>
      </c>
      <c r="E58" s="44">
        <f>SUM(E51:E57)</f>
        <v>0</v>
      </c>
      <c r="F58" s="44">
        <f>SUM(F51:F57)</f>
        <v>0</v>
      </c>
      <c r="G58" s="44">
        <f>SUM(G51:G57)</f>
        <v>0</v>
      </c>
      <c r="H58" s="44">
        <f>SUM(H51:H57)</f>
        <v>0</v>
      </c>
      <c r="I58" s="44">
        <f t="shared" ref="I58" si="3">SUM(I51:I57)</f>
        <v>0</v>
      </c>
      <c r="J58" s="44">
        <f>SUM(J51:J57)</f>
        <v>0</v>
      </c>
      <c r="K58" s="48">
        <f>SUM(K50:K56)</f>
        <v>0</v>
      </c>
    </row>
    <row r="59" spans="1:15" ht="15.75" thickBot="1"/>
    <row r="60" spans="1:15" ht="21" customHeight="1">
      <c r="A60" s="2073" t="s">
        <v>44</v>
      </c>
      <c r="B60" s="540"/>
      <c r="C60" s="2074" t="s">
        <v>9</v>
      </c>
      <c r="D60" s="1941" t="s">
        <v>45</v>
      </c>
      <c r="E60" s="96" t="s">
        <v>6</v>
      </c>
      <c r="F60" s="541"/>
      <c r="G60" s="541"/>
      <c r="H60" s="541"/>
      <c r="I60" s="541"/>
      <c r="J60" s="541"/>
      <c r="K60" s="541"/>
      <c r="L60" s="542"/>
    </row>
    <row r="61" spans="1:15" ht="115.5" customHeight="1">
      <c r="A61" s="1970"/>
      <c r="B61" s="373" t="s">
        <v>171</v>
      </c>
      <c r="C61" s="1972"/>
      <c r="D61" s="1942"/>
      <c r="E61" s="100" t="s">
        <v>14</v>
      </c>
      <c r="F61" s="101" t="s">
        <v>15</v>
      </c>
      <c r="G61" s="101" t="s">
        <v>16</v>
      </c>
      <c r="H61" s="102" t="s">
        <v>17</v>
      </c>
      <c r="I61" s="102" t="s">
        <v>18</v>
      </c>
      <c r="J61" s="103" t="s">
        <v>19</v>
      </c>
      <c r="K61" s="101" t="s">
        <v>20</v>
      </c>
      <c r="L61" s="104" t="s">
        <v>21</v>
      </c>
      <c r="M61" s="105"/>
      <c r="N61" s="7"/>
      <c r="O61" s="7"/>
    </row>
    <row r="62" spans="1:15">
      <c r="A62" s="1898"/>
      <c r="B62" s="1899"/>
      <c r="C62" s="106">
        <v>2014</v>
      </c>
      <c r="D62" s="107"/>
      <c r="E62" s="108"/>
      <c r="F62" s="109"/>
      <c r="G62" s="109"/>
      <c r="H62" s="109"/>
      <c r="I62" s="109"/>
      <c r="J62" s="109"/>
      <c r="K62" s="109"/>
      <c r="L62" s="34"/>
      <c r="M62" s="7"/>
      <c r="N62" s="7"/>
      <c r="O62" s="7"/>
    </row>
    <row r="63" spans="1:15">
      <c r="A63" s="1891"/>
      <c r="B63" s="1899"/>
      <c r="C63" s="110">
        <v>2015</v>
      </c>
      <c r="D63" s="111"/>
      <c r="E63" s="112"/>
      <c r="F63" s="38"/>
      <c r="G63" s="38"/>
      <c r="H63" s="38"/>
      <c r="I63" s="38"/>
      <c r="J63" s="38"/>
      <c r="K63" s="38"/>
      <c r="L63" s="88"/>
      <c r="M63" s="7"/>
      <c r="N63" s="7"/>
      <c r="O63" s="7"/>
    </row>
    <row r="64" spans="1:15">
      <c r="A64" s="1891"/>
      <c r="B64" s="1899"/>
      <c r="C64" s="110">
        <v>2016</v>
      </c>
      <c r="D64" s="111">
        <v>12</v>
      </c>
      <c r="E64" s="112"/>
      <c r="F64" s="38">
        <v>3</v>
      </c>
      <c r="G64" s="38"/>
      <c r="H64" s="38">
        <v>9</v>
      </c>
      <c r="I64" s="38"/>
      <c r="J64" s="38"/>
      <c r="K64" s="38"/>
      <c r="L64" s="88"/>
      <c r="M64" s="7"/>
      <c r="N64" s="7"/>
      <c r="O64" s="7"/>
    </row>
    <row r="65" spans="1:20">
      <c r="A65" s="1891"/>
      <c r="B65" s="1899"/>
      <c r="C65" s="110">
        <v>2017</v>
      </c>
      <c r="D65" s="111">
        <v>4</v>
      </c>
      <c r="E65" s="112"/>
      <c r="F65" s="38"/>
      <c r="G65" s="38"/>
      <c r="H65" s="38">
        <v>4</v>
      </c>
      <c r="I65" s="38"/>
      <c r="J65" s="38"/>
      <c r="K65" s="38"/>
      <c r="L65" s="88"/>
      <c r="M65" s="7"/>
      <c r="N65" s="7"/>
      <c r="O65" s="7"/>
    </row>
    <row r="66" spans="1:20">
      <c r="A66" s="1891"/>
      <c r="B66" s="1899"/>
      <c r="C66" s="110">
        <v>2018</v>
      </c>
      <c r="D66" s="111"/>
      <c r="E66" s="112"/>
      <c r="F66" s="38"/>
      <c r="G66" s="38"/>
      <c r="H66" s="38"/>
      <c r="I66" s="38"/>
      <c r="J66" s="38"/>
      <c r="K66" s="38"/>
      <c r="L66" s="88"/>
      <c r="M66" s="7"/>
      <c r="N66" s="7"/>
      <c r="O66" s="7"/>
    </row>
    <row r="67" spans="1:20" ht="17.25" customHeight="1">
      <c r="A67" s="1891"/>
      <c r="B67" s="1899"/>
      <c r="C67" s="110">
        <v>2019</v>
      </c>
      <c r="D67" s="111"/>
      <c r="E67" s="112"/>
      <c r="F67" s="38"/>
      <c r="G67" s="38"/>
      <c r="H67" s="38"/>
      <c r="I67" s="38"/>
      <c r="J67" s="38"/>
      <c r="K67" s="38"/>
      <c r="L67" s="88"/>
      <c r="M67" s="7"/>
      <c r="N67" s="7"/>
      <c r="O67" s="7"/>
    </row>
    <row r="68" spans="1:20" ht="16.5" customHeight="1">
      <c r="A68" s="1891"/>
      <c r="B68" s="1899"/>
      <c r="C68" s="110">
        <v>2020</v>
      </c>
      <c r="D68" s="111"/>
      <c r="E68" s="112"/>
      <c r="F68" s="38"/>
      <c r="G68" s="38"/>
      <c r="H68" s="38"/>
      <c r="I68" s="38"/>
      <c r="J68" s="38"/>
      <c r="K68" s="38"/>
      <c r="L68" s="88"/>
      <c r="M68" s="78"/>
      <c r="N68" s="78"/>
      <c r="O68" s="78"/>
    </row>
    <row r="69" spans="1:20" ht="18" customHeight="1" thickBot="1">
      <c r="A69" s="1980"/>
      <c r="B69" s="1900"/>
      <c r="C69" s="113" t="s">
        <v>13</v>
      </c>
      <c r="D69" s="114">
        <f>SUM(D62:D68)</f>
        <v>16</v>
      </c>
      <c r="E69" s="115">
        <f>SUM(E62:E68)</f>
        <v>0</v>
      </c>
      <c r="F69" s="116">
        <f t="shared" ref="F69:I69" si="4">SUM(F62:F68)</f>
        <v>3</v>
      </c>
      <c r="G69" s="116">
        <f t="shared" si="4"/>
        <v>0</v>
      </c>
      <c r="H69" s="116">
        <f t="shared" si="4"/>
        <v>13</v>
      </c>
      <c r="I69" s="116">
        <f t="shared" si="4"/>
        <v>0</v>
      </c>
      <c r="J69" s="116"/>
      <c r="K69" s="116">
        <f>SUM(K62:K68)</f>
        <v>0</v>
      </c>
      <c r="L69" s="117">
        <f>SUM(L62:L68)</f>
        <v>0</v>
      </c>
      <c r="M69" s="78"/>
      <c r="N69" s="78"/>
      <c r="O69" s="78"/>
    </row>
    <row r="70" spans="1:20" ht="20.25" customHeight="1" thickBot="1">
      <c r="A70" s="118"/>
      <c r="B70" s="119"/>
      <c r="C70" s="120"/>
      <c r="D70" s="121"/>
      <c r="E70" s="121"/>
      <c r="F70" s="121"/>
      <c r="G70" s="121"/>
      <c r="H70" s="120"/>
      <c r="I70" s="122"/>
      <c r="J70" s="122"/>
      <c r="K70" s="122"/>
      <c r="L70" s="122"/>
      <c r="M70" s="122"/>
      <c r="N70" s="122"/>
      <c r="O70" s="122"/>
      <c r="P70" s="56"/>
      <c r="Q70" s="56"/>
      <c r="R70" s="56"/>
      <c r="S70" s="56"/>
      <c r="T70" s="56"/>
    </row>
    <row r="71" spans="1:20" ht="132" customHeight="1">
      <c r="A71" s="535" t="s">
        <v>47</v>
      </c>
      <c r="B71" s="536" t="s">
        <v>171</v>
      </c>
      <c r="C71" s="68" t="s">
        <v>9</v>
      </c>
      <c r="D71" s="123" t="s">
        <v>49</v>
      </c>
      <c r="E71" s="123" t="s">
        <v>50</v>
      </c>
      <c r="F71" s="124" t="s">
        <v>51</v>
      </c>
      <c r="G71" s="125" t="s">
        <v>52</v>
      </c>
      <c r="H71" s="126" t="s">
        <v>14</v>
      </c>
      <c r="I71" s="127" t="s">
        <v>15</v>
      </c>
      <c r="J71" s="128" t="s">
        <v>16</v>
      </c>
      <c r="K71" s="127" t="s">
        <v>17</v>
      </c>
      <c r="L71" s="127" t="s">
        <v>18</v>
      </c>
      <c r="M71" s="129" t="s">
        <v>19</v>
      </c>
      <c r="N71" s="128" t="s">
        <v>20</v>
      </c>
      <c r="O71" s="130" t="s">
        <v>21</v>
      </c>
    </row>
    <row r="72" spans="1:20" ht="15" customHeight="1">
      <c r="A72" s="1874"/>
      <c r="B72" s="1899"/>
      <c r="C72" s="72">
        <v>2014</v>
      </c>
      <c r="D72" s="131"/>
      <c r="E72" s="131"/>
      <c r="F72" s="131"/>
      <c r="G72" s="132">
        <f>SUM(D72:F72)</f>
        <v>0</v>
      </c>
      <c r="H72" s="30"/>
      <c r="I72" s="133"/>
      <c r="J72" s="109"/>
      <c r="K72" s="109"/>
      <c r="L72" s="109"/>
      <c r="M72" s="109"/>
      <c r="N72" s="109"/>
      <c r="O72" s="134"/>
    </row>
    <row r="73" spans="1:20">
      <c r="A73" s="1854"/>
      <c r="B73" s="1899"/>
      <c r="C73" s="73">
        <v>2015</v>
      </c>
      <c r="D73" s="135"/>
      <c r="E73" s="135">
        <v>1</v>
      </c>
      <c r="F73" s="135"/>
      <c r="G73" s="132">
        <f t="shared" ref="G73:G78" si="5">SUM(D73:F73)</f>
        <v>1</v>
      </c>
      <c r="H73" s="37"/>
      <c r="I73" s="37"/>
      <c r="J73" s="38"/>
      <c r="K73" s="38">
        <v>1</v>
      </c>
      <c r="L73" s="38"/>
      <c r="M73" s="38"/>
      <c r="N73" s="38"/>
      <c r="O73" s="88"/>
    </row>
    <row r="74" spans="1:20">
      <c r="A74" s="1854"/>
      <c r="B74" s="1899"/>
      <c r="C74" s="73">
        <v>2016</v>
      </c>
      <c r="D74" s="135">
        <v>7</v>
      </c>
      <c r="E74" s="135">
        <v>3</v>
      </c>
      <c r="F74" s="135"/>
      <c r="G74" s="132">
        <f t="shared" si="5"/>
        <v>10</v>
      </c>
      <c r="H74" s="37"/>
      <c r="I74" s="37"/>
      <c r="J74" s="38"/>
      <c r="K74" s="38">
        <v>10</v>
      </c>
      <c r="L74" s="38"/>
      <c r="M74" s="38"/>
      <c r="N74" s="38"/>
      <c r="O74" s="88"/>
    </row>
    <row r="75" spans="1:20">
      <c r="A75" s="1854"/>
      <c r="B75" s="1899"/>
      <c r="C75" s="73">
        <v>2017</v>
      </c>
      <c r="D75" s="135"/>
      <c r="E75" s="135">
        <v>4</v>
      </c>
      <c r="F75" s="135"/>
      <c r="G75" s="132">
        <f t="shared" si="5"/>
        <v>4</v>
      </c>
      <c r="H75" s="37"/>
      <c r="I75" s="37"/>
      <c r="J75" s="38"/>
      <c r="K75" s="38">
        <v>4</v>
      </c>
      <c r="L75" s="38"/>
      <c r="M75" s="38"/>
      <c r="N75" s="38"/>
      <c r="O75" s="88"/>
    </row>
    <row r="76" spans="1:20">
      <c r="A76" s="1854"/>
      <c r="B76" s="1899"/>
      <c r="C76" s="73">
        <v>2018</v>
      </c>
      <c r="D76" s="135"/>
      <c r="E76" s="135"/>
      <c r="F76" s="135"/>
      <c r="G76" s="132">
        <f t="shared" si="5"/>
        <v>0</v>
      </c>
      <c r="H76" s="37"/>
      <c r="I76" s="37"/>
      <c r="J76" s="38"/>
      <c r="K76" s="38"/>
      <c r="L76" s="38"/>
      <c r="M76" s="38"/>
      <c r="N76" s="38"/>
      <c r="O76" s="88"/>
    </row>
    <row r="77" spans="1:20" ht="15.75" customHeight="1">
      <c r="A77" s="1854"/>
      <c r="B77" s="1899"/>
      <c r="C77" s="73">
        <v>2019</v>
      </c>
      <c r="D77" s="135"/>
      <c r="E77" s="135"/>
      <c r="F77" s="135"/>
      <c r="G77" s="132">
        <f t="shared" si="5"/>
        <v>0</v>
      </c>
      <c r="H77" s="37"/>
      <c r="I77" s="37"/>
      <c r="J77" s="38"/>
      <c r="K77" s="38"/>
      <c r="L77" s="38"/>
      <c r="M77" s="38"/>
      <c r="N77" s="38"/>
      <c r="O77" s="88"/>
    </row>
    <row r="78" spans="1:20" ht="17.25" customHeight="1">
      <c r="A78" s="1854"/>
      <c r="B78" s="1899"/>
      <c r="C78" s="73">
        <v>2020</v>
      </c>
      <c r="D78" s="135"/>
      <c r="E78" s="135"/>
      <c r="F78" s="135"/>
      <c r="G78" s="132">
        <f t="shared" si="5"/>
        <v>0</v>
      </c>
      <c r="H78" s="37"/>
      <c r="I78" s="37"/>
      <c r="J78" s="38"/>
      <c r="K78" s="38"/>
      <c r="L78" s="38"/>
      <c r="M78" s="38"/>
      <c r="N78" s="38"/>
      <c r="O78" s="88"/>
    </row>
    <row r="79" spans="1:20" ht="20.25" customHeight="1" thickBot="1">
      <c r="A79" s="1980"/>
      <c r="B79" s="1900"/>
      <c r="C79" s="136" t="s">
        <v>13</v>
      </c>
      <c r="D79" s="114">
        <f>SUM(D72:D78)</f>
        <v>7</v>
      </c>
      <c r="E79" s="114">
        <f>SUM(E72:E78)</f>
        <v>8</v>
      </c>
      <c r="F79" s="114">
        <f>SUM(F72:F78)</f>
        <v>0</v>
      </c>
      <c r="G79" s="137">
        <f>SUM(G72:G78)</f>
        <v>15</v>
      </c>
      <c r="H79" s="138">
        <v>0</v>
      </c>
      <c r="I79" s="139">
        <f t="shared" ref="I79:O79" si="6">SUM(I72:I78)</f>
        <v>0</v>
      </c>
      <c r="J79" s="116">
        <f t="shared" si="6"/>
        <v>0</v>
      </c>
      <c r="K79" s="116">
        <f t="shared" si="6"/>
        <v>15</v>
      </c>
      <c r="L79" s="116">
        <f t="shared" si="6"/>
        <v>0</v>
      </c>
      <c r="M79" s="116">
        <f t="shared" si="6"/>
        <v>0</v>
      </c>
      <c r="N79" s="116">
        <f t="shared" si="6"/>
        <v>0</v>
      </c>
      <c r="O79" s="117">
        <f t="shared" si="6"/>
        <v>0</v>
      </c>
    </row>
    <row r="81" spans="1:16" ht="36.75" customHeight="1">
      <c r="A81" s="140"/>
      <c r="B81" s="119"/>
      <c r="C81" s="141"/>
      <c r="D81" s="142"/>
      <c r="E81" s="78"/>
      <c r="F81" s="78"/>
      <c r="G81" s="78"/>
      <c r="H81" s="78"/>
      <c r="I81" s="78"/>
      <c r="J81" s="78"/>
      <c r="K81" s="78"/>
    </row>
    <row r="82" spans="1:16" ht="28.5" customHeight="1">
      <c r="A82" s="143" t="s">
        <v>55</v>
      </c>
      <c r="B82" s="143"/>
      <c r="C82" s="144"/>
      <c r="D82" s="144"/>
      <c r="E82" s="144"/>
      <c r="F82" s="144"/>
      <c r="G82" s="144"/>
      <c r="H82" s="144"/>
      <c r="I82" s="144"/>
      <c r="J82" s="144"/>
      <c r="K82" s="144"/>
      <c r="L82" s="145"/>
    </row>
    <row r="83" spans="1:16" ht="14.25" customHeight="1" thickBot="1">
      <c r="A83" s="146"/>
      <c r="B83" s="146"/>
    </row>
    <row r="84" spans="1:16" s="56" customFormat="1" ht="150" customHeight="1">
      <c r="A84" s="547" t="s">
        <v>56</v>
      </c>
      <c r="B84" s="548" t="s">
        <v>178</v>
      </c>
      <c r="C84" s="149" t="s">
        <v>9</v>
      </c>
      <c r="D84" s="150" t="s">
        <v>58</v>
      </c>
      <c r="E84" s="151" t="s">
        <v>59</v>
      </c>
      <c r="F84" s="152" t="s">
        <v>60</v>
      </c>
      <c r="G84" s="152" t="s">
        <v>61</v>
      </c>
      <c r="H84" s="152" t="s">
        <v>62</v>
      </c>
      <c r="I84" s="152" t="s">
        <v>63</v>
      </c>
      <c r="J84" s="152" t="s">
        <v>64</v>
      </c>
      <c r="K84" s="153" t="s">
        <v>65</v>
      </c>
    </row>
    <row r="85" spans="1:16" ht="15" customHeight="1">
      <c r="A85" s="1939"/>
      <c r="B85" s="2092"/>
      <c r="C85" s="72">
        <v>2014</v>
      </c>
      <c r="D85" s="154"/>
      <c r="E85" s="155"/>
      <c r="F85" s="31"/>
      <c r="G85" s="31"/>
      <c r="H85" s="31"/>
      <c r="I85" s="31"/>
      <c r="J85" s="31"/>
      <c r="K85" s="34"/>
    </row>
    <row r="86" spans="1:16">
      <c r="A86" s="1939"/>
      <c r="B86" s="2092"/>
      <c r="C86" s="73">
        <v>2015</v>
      </c>
      <c r="D86" s="156">
        <v>0</v>
      </c>
      <c r="E86" s="112"/>
      <c r="F86" s="38"/>
      <c r="G86" s="38"/>
      <c r="H86" s="38"/>
      <c r="I86" s="38"/>
      <c r="J86" s="38"/>
      <c r="K86" s="88"/>
    </row>
    <row r="87" spans="1:16">
      <c r="A87" s="1939"/>
      <c r="B87" s="2092"/>
      <c r="C87" s="73">
        <v>2016</v>
      </c>
      <c r="D87" s="156">
        <v>0</v>
      </c>
      <c r="E87" s="600"/>
      <c r="F87" s="38"/>
      <c r="G87" s="38"/>
      <c r="H87" s="38"/>
      <c r="I87" s="38"/>
      <c r="J87" s="38"/>
      <c r="K87" s="88"/>
    </row>
    <row r="88" spans="1:16">
      <c r="A88" s="1939"/>
      <c r="B88" s="2092"/>
      <c r="C88" s="73">
        <v>2017</v>
      </c>
      <c r="D88" s="156">
        <v>5</v>
      </c>
      <c r="E88" s="112"/>
      <c r="F88" s="38"/>
      <c r="G88" s="38"/>
      <c r="H88" s="38">
        <v>5</v>
      </c>
      <c r="I88" s="38"/>
      <c r="J88" s="38"/>
      <c r="K88" s="88"/>
    </row>
    <row r="89" spans="1:16">
      <c r="A89" s="1939"/>
      <c r="B89" s="2092"/>
      <c r="C89" s="73">
        <v>2018</v>
      </c>
      <c r="D89" s="156"/>
      <c r="E89" s="112"/>
      <c r="F89" s="38"/>
      <c r="G89" s="38"/>
      <c r="H89" s="38"/>
      <c r="I89" s="38"/>
      <c r="J89" s="38"/>
      <c r="K89" s="88"/>
    </row>
    <row r="90" spans="1:16">
      <c r="A90" s="1939"/>
      <c r="B90" s="2092"/>
      <c r="C90" s="73">
        <v>2019</v>
      </c>
      <c r="D90" s="156"/>
      <c r="E90" s="112"/>
      <c r="F90" s="38"/>
      <c r="G90" s="38"/>
      <c r="H90" s="38"/>
      <c r="I90" s="38"/>
      <c r="J90" s="38"/>
      <c r="K90" s="88"/>
    </row>
    <row r="91" spans="1:16">
      <c r="A91" s="1939"/>
      <c r="B91" s="2092"/>
      <c r="C91" s="73">
        <v>2020</v>
      </c>
      <c r="D91" s="156"/>
      <c r="E91" s="112"/>
      <c r="F91" s="38"/>
      <c r="G91" s="38"/>
      <c r="H91" s="38"/>
      <c r="I91" s="38"/>
      <c r="J91" s="38"/>
      <c r="K91" s="88"/>
    </row>
    <row r="92" spans="1:16" ht="18" customHeight="1" thickBot="1">
      <c r="A92" s="1940"/>
      <c r="B92" s="2093"/>
      <c r="C92" s="136" t="s">
        <v>13</v>
      </c>
      <c r="D92" s="157">
        <f t="shared" ref="D92:I92" si="7">SUM(D85:D91)</f>
        <v>5</v>
      </c>
      <c r="E92" s="115">
        <f t="shared" si="7"/>
        <v>0</v>
      </c>
      <c r="F92" s="116">
        <f t="shared" si="7"/>
        <v>0</v>
      </c>
      <c r="G92" s="116">
        <f t="shared" si="7"/>
        <v>0</v>
      </c>
      <c r="H92" s="116">
        <f t="shared" si="7"/>
        <v>5</v>
      </c>
      <c r="I92" s="116">
        <f t="shared" si="7"/>
        <v>0</v>
      </c>
      <c r="J92" s="116">
        <f>SUM(J85:J91)</f>
        <v>0</v>
      </c>
      <c r="K92" s="117">
        <f>SUM(K85:K91)</f>
        <v>0</v>
      </c>
    </row>
    <row r="93" spans="1:16" ht="20.25" customHeight="1"/>
    <row r="94" spans="1:16" ht="21">
      <c r="A94" s="158" t="s">
        <v>67</v>
      </c>
      <c r="B94" s="158"/>
      <c r="C94" s="159"/>
      <c r="D94" s="159"/>
      <c r="E94" s="159"/>
      <c r="F94" s="159"/>
      <c r="G94" s="159"/>
      <c r="H94" s="159"/>
      <c r="I94" s="159"/>
      <c r="J94" s="159"/>
      <c r="K94" s="159"/>
      <c r="L94" s="159"/>
      <c r="M94" s="159"/>
      <c r="N94" s="160"/>
      <c r="O94" s="160"/>
      <c r="P94" s="160"/>
    </row>
    <row r="95" spans="1:16" s="65" customFormat="1" ht="15" customHeight="1" thickBot="1">
      <c r="A95" s="161"/>
      <c r="B95" s="161"/>
    </row>
    <row r="96" spans="1:16" ht="29.25" customHeight="1">
      <c r="A96" s="2051" t="s">
        <v>68</v>
      </c>
      <c r="B96" s="2052" t="s">
        <v>179</v>
      </c>
      <c r="C96" s="2058" t="s">
        <v>9</v>
      </c>
      <c r="D96" s="1916" t="s">
        <v>70</v>
      </c>
      <c r="E96" s="1917"/>
      <c r="F96" s="162" t="s">
        <v>71</v>
      </c>
      <c r="G96" s="549"/>
      <c r="H96" s="549"/>
      <c r="I96" s="549"/>
      <c r="J96" s="549"/>
      <c r="K96" s="549"/>
      <c r="L96" s="549"/>
      <c r="M96" s="550"/>
      <c r="N96" s="165"/>
      <c r="O96" s="165"/>
      <c r="P96" s="165"/>
    </row>
    <row r="97" spans="1:16" ht="100.5" customHeight="1">
      <c r="A97" s="1910"/>
      <c r="B97" s="1912"/>
      <c r="C97" s="1925"/>
      <c r="D97" s="166" t="s">
        <v>72</v>
      </c>
      <c r="E97" s="167" t="s">
        <v>73</v>
      </c>
      <c r="F97" s="168" t="s">
        <v>14</v>
      </c>
      <c r="G97" s="169" t="s">
        <v>74</v>
      </c>
      <c r="H97" s="170" t="s">
        <v>61</v>
      </c>
      <c r="I97" s="171" t="s">
        <v>62</v>
      </c>
      <c r="J97" s="171" t="s">
        <v>63</v>
      </c>
      <c r="K97" s="172" t="s">
        <v>75</v>
      </c>
      <c r="L97" s="170" t="s">
        <v>64</v>
      </c>
      <c r="M97" s="173" t="s">
        <v>65</v>
      </c>
      <c r="N97" s="165"/>
      <c r="O97" s="165"/>
      <c r="P97" s="165"/>
    </row>
    <row r="98" spans="1:16" ht="17.25" customHeight="1">
      <c r="A98" s="2089" t="s">
        <v>267</v>
      </c>
      <c r="B98" s="2006"/>
      <c r="C98" s="106">
        <v>2014</v>
      </c>
      <c r="D98" s="30"/>
      <c r="E98" s="31"/>
      <c r="F98" s="174"/>
      <c r="G98" s="175"/>
      <c r="H98" s="175"/>
      <c r="I98" s="175"/>
      <c r="J98" s="175"/>
      <c r="K98" s="175"/>
      <c r="L98" s="175"/>
      <c r="M98" s="176"/>
      <c r="N98" s="165"/>
      <c r="O98" s="165"/>
      <c r="P98" s="165"/>
    </row>
    <row r="99" spans="1:16" ht="16.5" customHeight="1">
      <c r="A99" s="2090"/>
      <c r="B99" s="2006"/>
      <c r="C99" s="110">
        <v>2015</v>
      </c>
      <c r="D99" s="90">
        <v>1</v>
      </c>
      <c r="E99" s="91">
        <v>2</v>
      </c>
      <c r="F99" s="177"/>
      <c r="G99" s="178"/>
      <c r="H99" s="178"/>
      <c r="I99" s="178"/>
      <c r="J99" s="178"/>
      <c r="K99" s="178"/>
      <c r="L99" s="178"/>
      <c r="M99" s="179">
        <v>1</v>
      </c>
      <c r="N99" s="165"/>
      <c r="O99" s="165"/>
      <c r="P99" s="165"/>
    </row>
    <row r="100" spans="1:16" ht="16.5" customHeight="1">
      <c r="A100" s="2090"/>
      <c r="B100" s="2006"/>
      <c r="C100" s="110">
        <v>2016</v>
      </c>
      <c r="D100" s="90">
        <v>1</v>
      </c>
      <c r="E100" s="91">
        <v>9</v>
      </c>
      <c r="F100" s="177"/>
      <c r="G100" s="178"/>
      <c r="H100" s="178"/>
      <c r="I100" s="178"/>
      <c r="J100" s="178"/>
      <c r="K100" s="178"/>
      <c r="L100" s="178"/>
      <c r="M100" s="179">
        <v>1</v>
      </c>
      <c r="N100" s="165"/>
      <c r="O100" s="165"/>
      <c r="P100" s="165"/>
    </row>
    <row r="101" spans="1:16" ht="16.5" customHeight="1">
      <c r="A101" s="2090"/>
      <c r="B101" s="2006"/>
      <c r="C101" s="110">
        <v>2017</v>
      </c>
      <c r="D101" s="90">
        <v>1</v>
      </c>
      <c r="E101" s="91">
        <v>9</v>
      </c>
      <c r="F101" s="177"/>
      <c r="G101" s="178"/>
      <c r="H101" s="178"/>
      <c r="I101" s="178"/>
      <c r="J101" s="178"/>
      <c r="K101" s="178"/>
      <c r="L101" s="178"/>
      <c r="M101" s="179">
        <v>1</v>
      </c>
      <c r="N101" s="165"/>
      <c r="O101" s="165"/>
      <c r="P101" s="165"/>
    </row>
    <row r="102" spans="1:16" ht="15.75" customHeight="1">
      <c r="A102" s="2090"/>
      <c r="B102" s="2006"/>
      <c r="C102" s="110">
        <v>2018</v>
      </c>
      <c r="D102" s="37"/>
      <c r="E102" s="38"/>
      <c r="F102" s="177"/>
      <c r="G102" s="178"/>
      <c r="H102" s="178"/>
      <c r="I102" s="178"/>
      <c r="J102" s="178"/>
      <c r="K102" s="178"/>
      <c r="L102" s="178"/>
      <c r="M102" s="179"/>
      <c r="N102" s="165"/>
      <c r="O102" s="165"/>
      <c r="P102" s="165"/>
    </row>
    <row r="103" spans="1:16" ht="14.25" customHeight="1">
      <c r="A103" s="2090"/>
      <c r="B103" s="2006"/>
      <c r="C103" s="110">
        <v>2019</v>
      </c>
      <c r="D103" s="37"/>
      <c r="E103" s="38"/>
      <c r="F103" s="177"/>
      <c r="G103" s="178"/>
      <c r="H103" s="178"/>
      <c r="I103" s="178"/>
      <c r="J103" s="178"/>
      <c r="K103" s="178"/>
      <c r="L103" s="178"/>
      <c r="M103" s="179"/>
      <c r="N103" s="165"/>
      <c r="O103" s="165"/>
      <c r="P103" s="165"/>
    </row>
    <row r="104" spans="1:16" ht="14.25" customHeight="1">
      <c r="A104" s="2090"/>
      <c r="B104" s="2006"/>
      <c r="C104" s="110">
        <v>2020</v>
      </c>
      <c r="D104" s="37"/>
      <c r="E104" s="38"/>
      <c r="F104" s="177"/>
      <c r="G104" s="178"/>
      <c r="H104" s="178"/>
      <c r="I104" s="178"/>
      <c r="J104" s="178"/>
      <c r="K104" s="178"/>
      <c r="L104" s="178"/>
      <c r="M104" s="179"/>
      <c r="N104" s="165"/>
      <c r="O104" s="165"/>
      <c r="P104" s="165"/>
    </row>
    <row r="105" spans="1:16" ht="19.5" customHeight="1" thickBot="1">
      <c r="A105" s="2091"/>
      <c r="B105" s="2009"/>
      <c r="C105" s="113" t="s">
        <v>13</v>
      </c>
      <c r="D105" s="139">
        <f>SUM(D98:D104)</f>
        <v>3</v>
      </c>
      <c r="E105" s="116">
        <f t="shared" ref="E105:K105" si="8">SUM(E98:E104)</f>
        <v>20</v>
      </c>
      <c r="F105" s="180">
        <f t="shared" si="8"/>
        <v>0</v>
      </c>
      <c r="G105" s="181">
        <f t="shared" si="8"/>
        <v>0</v>
      </c>
      <c r="H105" s="181">
        <f t="shared" si="8"/>
        <v>0</v>
      </c>
      <c r="I105" s="181">
        <f>SUM(I98:I104)</f>
        <v>0</v>
      </c>
      <c r="J105" s="181">
        <f t="shared" si="8"/>
        <v>0</v>
      </c>
      <c r="K105" s="181">
        <f t="shared" si="8"/>
        <v>0</v>
      </c>
      <c r="L105" s="181">
        <f>SUM(L98:L104)</f>
        <v>0</v>
      </c>
      <c r="M105" s="182">
        <f>SUM(M98:M104)</f>
        <v>3</v>
      </c>
      <c r="N105" s="165"/>
      <c r="O105" s="165"/>
      <c r="P105" s="165"/>
    </row>
    <row r="106" spans="1:16" ht="15.75" thickBot="1">
      <c r="A106" s="183"/>
      <c r="B106" s="183"/>
      <c r="C106" s="184"/>
      <c r="D106" s="7"/>
      <c r="E106" s="7"/>
      <c r="H106" s="185"/>
      <c r="I106" s="185"/>
      <c r="J106" s="185"/>
      <c r="K106" s="185"/>
      <c r="L106" s="185"/>
      <c r="M106" s="185"/>
      <c r="N106" s="185"/>
    </row>
    <row r="107" spans="1:16" ht="15" customHeight="1">
      <c r="A107" s="2051" t="s">
        <v>77</v>
      </c>
      <c r="B107" s="2052" t="s">
        <v>179</v>
      </c>
      <c r="C107" s="2058" t="s">
        <v>9</v>
      </c>
      <c r="D107" s="1926" t="s">
        <v>78</v>
      </c>
      <c r="E107" s="162" t="s">
        <v>79</v>
      </c>
      <c r="F107" s="549"/>
      <c r="G107" s="549"/>
      <c r="H107" s="549"/>
      <c r="I107" s="549"/>
      <c r="J107" s="549"/>
      <c r="K107" s="549"/>
      <c r="L107" s="550"/>
      <c r="M107" s="185"/>
      <c r="N107" s="185"/>
    </row>
    <row r="108" spans="1:16" ht="103.5" customHeight="1">
      <c r="A108" s="1910"/>
      <c r="B108" s="1912"/>
      <c r="C108" s="1925"/>
      <c r="D108" s="1927"/>
      <c r="E108" s="168" t="s">
        <v>14</v>
      </c>
      <c r="F108" s="169" t="s">
        <v>74</v>
      </c>
      <c r="G108" s="170" t="s">
        <v>61</v>
      </c>
      <c r="H108" s="171" t="s">
        <v>62</v>
      </c>
      <c r="I108" s="171" t="s">
        <v>63</v>
      </c>
      <c r="J108" s="172" t="s">
        <v>75</v>
      </c>
      <c r="K108" s="170" t="s">
        <v>64</v>
      </c>
      <c r="L108" s="173" t="s">
        <v>65</v>
      </c>
      <c r="M108" s="185"/>
      <c r="N108" s="185"/>
    </row>
    <row r="109" spans="1:16">
      <c r="A109" s="1898" t="s">
        <v>268</v>
      </c>
      <c r="B109" s="1899"/>
      <c r="C109" s="106">
        <v>2014</v>
      </c>
      <c r="D109" s="31"/>
      <c r="E109" s="174"/>
      <c r="F109" s="175"/>
      <c r="G109" s="175"/>
      <c r="H109" s="175"/>
      <c r="I109" s="175"/>
      <c r="J109" s="175"/>
      <c r="K109" s="175"/>
      <c r="L109" s="176"/>
      <c r="M109" s="185"/>
      <c r="N109" s="185"/>
    </row>
    <row r="110" spans="1:16">
      <c r="A110" s="1891"/>
      <c r="B110" s="1899"/>
      <c r="C110" s="110">
        <v>2015</v>
      </c>
      <c r="D110" s="38"/>
      <c r="E110" s="177"/>
      <c r="F110" s="178"/>
      <c r="G110" s="178"/>
      <c r="H110" s="178"/>
      <c r="I110" s="178"/>
      <c r="J110" s="178"/>
      <c r="K110" s="178"/>
      <c r="L110" s="179"/>
      <c r="M110" s="185"/>
      <c r="N110" s="185"/>
    </row>
    <row r="111" spans="1:16">
      <c r="A111" s="1891"/>
      <c r="B111" s="1899"/>
      <c r="C111" s="110">
        <v>2016</v>
      </c>
      <c r="D111" s="38">
        <v>1</v>
      </c>
      <c r="E111" s="177"/>
      <c r="F111" s="178"/>
      <c r="G111" s="178"/>
      <c r="H111" s="178"/>
      <c r="I111" s="178"/>
      <c r="J111" s="178"/>
      <c r="K111" s="178"/>
      <c r="L111" s="38">
        <v>1</v>
      </c>
      <c r="M111" s="185"/>
      <c r="N111" s="185"/>
    </row>
    <row r="112" spans="1:16">
      <c r="A112" s="1891"/>
      <c r="B112" s="1899"/>
      <c r="C112" s="110">
        <v>2017</v>
      </c>
      <c r="D112" s="38">
        <v>3</v>
      </c>
      <c r="E112" s="177"/>
      <c r="F112" s="178"/>
      <c r="G112" s="178"/>
      <c r="H112" s="178"/>
      <c r="I112" s="178"/>
      <c r="J112" s="178"/>
      <c r="K112" s="178"/>
      <c r="L112" s="38">
        <v>3</v>
      </c>
      <c r="M112" s="185"/>
      <c r="N112" s="185"/>
    </row>
    <row r="113" spans="1:14">
      <c r="A113" s="1891"/>
      <c r="B113" s="1899"/>
      <c r="C113" s="110">
        <v>2018</v>
      </c>
      <c r="D113" s="38"/>
      <c r="E113" s="177"/>
      <c r="F113" s="178"/>
      <c r="G113" s="178"/>
      <c r="H113" s="178"/>
      <c r="I113" s="178"/>
      <c r="J113" s="178"/>
      <c r="K113" s="178"/>
      <c r="L113" s="179"/>
      <c r="M113" s="185"/>
      <c r="N113" s="185"/>
    </row>
    <row r="114" spans="1:14">
      <c r="A114" s="1891"/>
      <c r="B114" s="1899"/>
      <c r="C114" s="110">
        <v>2019</v>
      </c>
      <c r="D114" s="38"/>
      <c r="E114" s="177"/>
      <c r="F114" s="178"/>
      <c r="G114" s="178"/>
      <c r="H114" s="178"/>
      <c r="I114" s="178"/>
      <c r="J114" s="178"/>
      <c r="K114" s="178"/>
      <c r="L114" s="179"/>
      <c r="M114" s="185"/>
      <c r="N114" s="185"/>
    </row>
    <row r="115" spans="1:14">
      <c r="A115" s="1891"/>
      <c r="B115" s="1899"/>
      <c r="C115" s="110">
        <v>2020</v>
      </c>
      <c r="D115" s="38"/>
      <c r="E115" s="177"/>
      <c r="F115" s="178"/>
      <c r="G115" s="178"/>
      <c r="H115" s="178"/>
      <c r="I115" s="178"/>
      <c r="J115" s="178"/>
      <c r="K115" s="178"/>
      <c r="L115" s="179"/>
      <c r="M115" s="185"/>
      <c r="N115" s="185"/>
    </row>
    <row r="116" spans="1:14" ht="25.5" customHeight="1" thickBot="1">
      <c r="A116" s="1915"/>
      <c r="B116" s="1900"/>
      <c r="C116" s="113" t="s">
        <v>13</v>
      </c>
      <c r="D116" s="116">
        <f t="shared" ref="D116:I116" si="9">SUM(D109:D115)</f>
        <v>4</v>
      </c>
      <c r="E116" s="180">
        <f t="shared" si="9"/>
        <v>0</v>
      </c>
      <c r="F116" s="181">
        <f t="shared" si="9"/>
        <v>0</v>
      </c>
      <c r="G116" s="181">
        <f t="shared" si="9"/>
        <v>0</v>
      </c>
      <c r="H116" s="181">
        <f t="shared" si="9"/>
        <v>0</v>
      </c>
      <c r="I116" s="181">
        <f t="shared" si="9"/>
        <v>0</v>
      </c>
      <c r="J116" s="181"/>
      <c r="K116" s="181">
        <f>SUM(K109:K115)</f>
        <v>0</v>
      </c>
      <c r="L116" s="182">
        <f>SUM(L109:L115)</f>
        <v>4</v>
      </c>
      <c r="M116" s="185"/>
      <c r="N116" s="185"/>
    </row>
    <row r="117" spans="1:14" ht="21.75" thickBot="1">
      <c r="A117" s="186"/>
      <c r="B117" s="187"/>
      <c r="C117" s="65"/>
      <c r="D117" s="65"/>
      <c r="E117" s="65"/>
      <c r="F117" s="65"/>
      <c r="G117" s="65"/>
      <c r="H117" s="65"/>
      <c r="I117" s="65"/>
      <c r="J117" s="65"/>
      <c r="K117" s="65"/>
      <c r="L117" s="65"/>
      <c r="M117" s="185"/>
      <c r="N117" s="185"/>
    </row>
    <row r="118" spans="1:14" ht="15" customHeight="1">
      <c r="A118" s="2051" t="s">
        <v>81</v>
      </c>
      <c r="B118" s="2052" t="s">
        <v>179</v>
      </c>
      <c r="C118" s="2058" t="s">
        <v>9</v>
      </c>
      <c r="D118" s="1926" t="s">
        <v>82</v>
      </c>
      <c r="E118" s="162" t="s">
        <v>79</v>
      </c>
      <c r="F118" s="549"/>
      <c r="G118" s="549"/>
      <c r="H118" s="549"/>
      <c r="I118" s="549"/>
      <c r="J118" s="549"/>
      <c r="K118" s="549"/>
      <c r="L118" s="550"/>
      <c r="M118" s="185"/>
      <c r="N118" s="185"/>
    </row>
    <row r="119" spans="1:14" ht="120.75" customHeight="1">
      <c r="A119" s="1910"/>
      <c r="B119" s="1912"/>
      <c r="C119" s="1925"/>
      <c r="D119" s="1927"/>
      <c r="E119" s="168" t="s">
        <v>14</v>
      </c>
      <c r="F119" s="169" t="s">
        <v>74</v>
      </c>
      <c r="G119" s="170" t="s">
        <v>61</v>
      </c>
      <c r="H119" s="171" t="s">
        <v>62</v>
      </c>
      <c r="I119" s="171" t="s">
        <v>63</v>
      </c>
      <c r="J119" s="172" t="s">
        <v>75</v>
      </c>
      <c r="K119" s="170" t="s">
        <v>64</v>
      </c>
      <c r="L119" s="173" t="s">
        <v>65</v>
      </c>
      <c r="M119" s="185"/>
      <c r="N119" s="185"/>
    </row>
    <row r="120" spans="1:14">
      <c r="A120" s="1898" t="s">
        <v>266</v>
      </c>
      <c r="B120" s="1899"/>
      <c r="C120" s="106">
        <v>2014</v>
      </c>
      <c r="D120" s="31"/>
      <c r="E120" s="174"/>
      <c r="F120" s="175"/>
      <c r="G120" s="175"/>
      <c r="H120" s="175"/>
      <c r="I120" s="175"/>
      <c r="J120" s="175"/>
      <c r="K120" s="175"/>
      <c r="L120" s="176"/>
      <c r="M120" s="185"/>
      <c r="N120" s="185"/>
    </row>
    <row r="121" spans="1:14">
      <c r="A121" s="1891"/>
      <c r="B121" s="1899"/>
      <c r="C121" s="110">
        <v>2015</v>
      </c>
      <c r="D121" s="38"/>
      <c r="E121" s="177"/>
      <c r="F121" s="178"/>
      <c r="G121" s="178"/>
      <c r="H121" s="178"/>
      <c r="I121" s="178"/>
      <c r="J121" s="178"/>
      <c r="K121" s="178"/>
      <c r="L121" s="179"/>
      <c r="M121" s="185"/>
      <c r="N121" s="185"/>
    </row>
    <row r="122" spans="1:14">
      <c r="A122" s="1891"/>
      <c r="B122" s="1899"/>
      <c r="C122" s="110">
        <v>2016</v>
      </c>
      <c r="D122" s="38"/>
      <c r="E122" s="177"/>
      <c r="F122" s="178"/>
      <c r="G122" s="178"/>
      <c r="H122" s="178"/>
      <c r="I122" s="178"/>
      <c r="J122" s="178"/>
      <c r="K122" s="178"/>
      <c r="L122" s="179"/>
      <c r="M122" s="185"/>
      <c r="N122" s="185"/>
    </row>
    <row r="123" spans="1:14">
      <c r="A123" s="1891"/>
      <c r="B123" s="1899"/>
      <c r="C123" s="110">
        <v>2017</v>
      </c>
      <c r="D123" s="38"/>
      <c r="E123" s="177"/>
      <c r="F123" s="178"/>
      <c r="G123" s="178"/>
      <c r="H123" s="178"/>
      <c r="I123" s="178"/>
      <c r="J123" s="178"/>
      <c r="K123" s="178"/>
      <c r="L123" s="179"/>
      <c r="M123" s="185"/>
      <c r="N123" s="185"/>
    </row>
    <row r="124" spans="1:14">
      <c r="A124" s="1891"/>
      <c r="B124" s="1899"/>
      <c r="C124" s="110">
        <v>2018</v>
      </c>
      <c r="D124" s="38"/>
      <c r="E124" s="177"/>
      <c r="F124" s="178"/>
      <c r="G124" s="178"/>
      <c r="H124" s="178"/>
      <c r="I124" s="178"/>
      <c r="J124" s="178"/>
      <c r="K124" s="178"/>
      <c r="L124" s="179"/>
      <c r="M124" s="185"/>
      <c r="N124" s="185"/>
    </row>
    <row r="125" spans="1:14">
      <c r="A125" s="1891"/>
      <c r="B125" s="1899"/>
      <c r="C125" s="110">
        <v>2019</v>
      </c>
      <c r="D125" s="38"/>
      <c r="E125" s="177"/>
      <c r="F125" s="178"/>
      <c r="G125" s="178"/>
      <c r="H125" s="178"/>
      <c r="I125" s="178"/>
      <c r="J125" s="178"/>
      <c r="K125" s="178"/>
      <c r="L125" s="179"/>
      <c r="M125" s="185"/>
      <c r="N125" s="185"/>
    </row>
    <row r="126" spans="1:14">
      <c r="A126" s="1891"/>
      <c r="B126" s="1899"/>
      <c r="C126" s="110">
        <v>2020</v>
      </c>
      <c r="D126" s="38"/>
      <c r="E126" s="177"/>
      <c r="F126" s="178"/>
      <c r="G126" s="178"/>
      <c r="H126" s="178"/>
      <c r="I126" s="178"/>
      <c r="J126" s="178"/>
      <c r="K126" s="178"/>
      <c r="L126" s="179"/>
      <c r="M126" s="185"/>
      <c r="N126" s="185"/>
    </row>
    <row r="127" spans="1:14" ht="15.75" thickBot="1">
      <c r="A127" s="1915"/>
      <c r="B127" s="1900"/>
      <c r="C127" s="113" t="s">
        <v>13</v>
      </c>
      <c r="D127" s="116">
        <f t="shared" ref="D127:I127" si="10">SUM(D120:D126)</f>
        <v>0</v>
      </c>
      <c r="E127" s="180">
        <f t="shared" si="10"/>
        <v>0</v>
      </c>
      <c r="F127" s="181">
        <f t="shared" si="10"/>
        <v>0</v>
      </c>
      <c r="G127" s="181">
        <f t="shared" si="10"/>
        <v>0</v>
      </c>
      <c r="H127" s="181">
        <f t="shared" si="10"/>
        <v>0</v>
      </c>
      <c r="I127" s="181">
        <f t="shared" si="10"/>
        <v>0</v>
      </c>
      <c r="J127" s="181"/>
      <c r="K127" s="181">
        <f>SUM(K120:K126)</f>
        <v>0</v>
      </c>
      <c r="L127" s="182">
        <f>SUM(L120:L126)</f>
        <v>0</v>
      </c>
      <c r="M127" s="185"/>
      <c r="N127" s="185"/>
    </row>
    <row r="128" spans="1:14" ht="15.75" thickBot="1">
      <c r="A128" s="183"/>
      <c r="B128" s="183"/>
      <c r="C128" s="184"/>
      <c r="D128" s="7"/>
      <c r="E128" s="7"/>
      <c r="H128" s="185"/>
      <c r="I128" s="185"/>
      <c r="J128" s="185"/>
      <c r="K128" s="185"/>
      <c r="L128" s="185"/>
      <c r="M128" s="185"/>
      <c r="N128" s="185"/>
    </row>
    <row r="129" spans="1:16" ht="15" customHeight="1">
      <c r="A129" s="2051" t="s">
        <v>84</v>
      </c>
      <c r="B129" s="2052" t="s">
        <v>179</v>
      </c>
      <c r="C129" s="552" t="s">
        <v>9</v>
      </c>
      <c r="D129" s="189" t="s">
        <v>85</v>
      </c>
      <c r="E129" s="553"/>
      <c r="F129" s="553"/>
      <c r="G129" s="191"/>
      <c r="H129" s="185"/>
      <c r="I129" s="185"/>
      <c r="J129" s="185"/>
      <c r="K129" s="185"/>
      <c r="L129" s="185"/>
      <c r="M129" s="185"/>
      <c r="N129" s="185"/>
    </row>
    <row r="130" spans="1:16" ht="77.25" customHeight="1">
      <c r="A130" s="1910"/>
      <c r="B130" s="1912"/>
      <c r="C130" s="192"/>
      <c r="D130" s="166" t="s">
        <v>86</v>
      </c>
      <c r="E130" s="193" t="s">
        <v>87</v>
      </c>
      <c r="F130" s="167" t="s">
        <v>88</v>
      </c>
      <c r="G130" s="194" t="s">
        <v>13</v>
      </c>
      <c r="H130" s="185"/>
      <c r="I130" s="185"/>
      <c r="J130" s="185"/>
      <c r="K130" s="185"/>
      <c r="L130" s="185"/>
      <c r="M130" s="185"/>
      <c r="N130" s="185"/>
    </row>
    <row r="131" spans="1:16" ht="15" customHeight="1">
      <c r="A131" s="2084" t="s">
        <v>269</v>
      </c>
      <c r="B131" s="2085"/>
      <c r="C131" s="479">
        <v>2015</v>
      </c>
      <c r="D131" s="90">
        <v>52</v>
      </c>
      <c r="E131" s="91"/>
      <c r="F131" s="91"/>
      <c r="G131" s="195">
        <f t="shared" ref="G131:G136" si="11">SUM(D131:F131)</f>
        <v>52</v>
      </c>
      <c r="H131" s="185"/>
      <c r="I131" s="185"/>
      <c r="J131" s="185"/>
      <c r="K131" s="185"/>
      <c r="L131" s="185"/>
      <c r="M131" s="185"/>
      <c r="N131" s="185"/>
    </row>
    <row r="132" spans="1:16">
      <c r="A132" s="2086"/>
      <c r="B132" s="2085"/>
      <c r="C132" s="479">
        <v>2016</v>
      </c>
      <c r="D132" s="90">
        <v>160</v>
      </c>
      <c r="E132" s="38">
        <v>21</v>
      </c>
      <c r="F132" s="38"/>
      <c r="G132" s="195">
        <f t="shared" si="11"/>
        <v>181</v>
      </c>
      <c r="H132" s="185"/>
      <c r="I132" s="185"/>
      <c r="J132" s="185"/>
      <c r="K132" s="185"/>
      <c r="L132" s="185"/>
      <c r="M132" s="185"/>
      <c r="N132" s="185"/>
    </row>
    <row r="133" spans="1:16">
      <c r="A133" s="2086"/>
      <c r="B133" s="2085"/>
      <c r="C133" s="479">
        <v>2017</v>
      </c>
      <c r="D133" s="90">
        <v>135</v>
      </c>
      <c r="E133" s="38">
        <v>81</v>
      </c>
      <c r="F133" s="38"/>
      <c r="G133" s="195">
        <f t="shared" si="11"/>
        <v>216</v>
      </c>
      <c r="H133" s="185"/>
      <c r="I133" s="185"/>
      <c r="J133" s="185"/>
      <c r="K133" s="185"/>
      <c r="L133" s="185"/>
      <c r="M133" s="185"/>
      <c r="N133" s="185"/>
    </row>
    <row r="134" spans="1:16">
      <c r="A134" s="2086"/>
      <c r="B134" s="2085"/>
      <c r="C134" s="479">
        <v>2018</v>
      </c>
      <c r="D134" s="90"/>
      <c r="E134" s="38"/>
      <c r="F134" s="38"/>
      <c r="G134" s="195">
        <f t="shared" si="11"/>
        <v>0</v>
      </c>
      <c r="H134" s="185"/>
      <c r="I134" s="185"/>
      <c r="J134" s="185"/>
      <c r="K134" s="185"/>
      <c r="L134" s="185"/>
      <c r="M134" s="185"/>
      <c r="N134" s="185"/>
    </row>
    <row r="135" spans="1:16">
      <c r="A135" s="2086"/>
      <c r="B135" s="2085"/>
      <c r="C135" s="479">
        <v>2019</v>
      </c>
      <c r="D135" s="90"/>
      <c r="E135" s="38"/>
      <c r="F135" s="38"/>
      <c r="G135" s="195">
        <f t="shared" si="11"/>
        <v>0</v>
      </c>
      <c r="H135" s="185"/>
      <c r="I135" s="185"/>
      <c r="J135" s="185"/>
      <c r="K135" s="185"/>
      <c r="L135" s="185"/>
      <c r="M135" s="185"/>
      <c r="N135" s="185"/>
    </row>
    <row r="136" spans="1:16">
      <c r="A136" s="2086"/>
      <c r="B136" s="2085"/>
      <c r="C136" s="479">
        <v>2020</v>
      </c>
      <c r="D136" s="90"/>
      <c r="E136" s="38"/>
      <c r="F136" s="38"/>
      <c r="G136" s="195">
        <f t="shared" si="11"/>
        <v>0</v>
      </c>
      <c r="H136" s="185"/>
      <c r="I136" s="185"/>
      <c r="J136" s="185"/>
      <c r="K136" s="185"/>
      <c r="L136" s="185"/>
      <c r="M136" s="185"/>
      <c r="N136" s="185"/>
    </row>
    <row r="137" spans="1:16" ht="17.25" customHeight="1" thickBot="1">
      <c r="A137" s="2087"/>
      <c r="B137" s="2088"/>
      <c r="C137" s="601" t="s">
        <v>13</v>
      </c>
      <c r="D137" s="602">
        <f>SUM(D131:D136)</f>
        <v>347</v>
      </c>
      <c r="E137" s="139">
        <f t="shared" ref="E137:F137" si="12">SUM(E131:E136)</f>
        <v>102</v>
      </c>
      <c r="F137" s="139">
        <f t="shared" si="12"/>
        <v>0</v>
      </c>
      <c r="G137" s="196">
        <f>SUM(G131:G136)</f>
        <v>449</v>
      </c>
      <c r="H137" s="185"/>
      <c r="I137" s="185"/>
      <c r="J137" s="185"/>
      <c r="K137" s="185"/>
      <c r="L137" s="185"/>
      <c r="M137" s="185"/>
      <c r="N137" s="185"/>
    </row>
    <row r="138" spans="1:16">
      <c r="A138" s="183"/>
      <c r="B138" s="183"/>
      <c r="C138" s="184"/>
      <c r="D138" s="7"/>
      <c r="E138" s="7"/>
      <c r="H138" s="185"/>
      <c r="I138" s="185"/>
      <c r="J138" s="185"/>
      <c r="K138" s="185"/>
      <c r="L138" s="185"/>
      <c r="M138" s="185"/>
      <c r="N138" s="185"/>
    </row>
    <row r="139" spans="1:16" s="65" customFormat="1" ht="33" customHeight="1">
      <c r="A139" s="197"/>
      <c r="B139" s="80"/>
      <c r="C139" s="81"/>
      <c r="D139" s="35"/>
      <c r="E139" s="35"/>
      <c r="F139" s="35"/>
      <c r="G139" s="35"/>
      <c r="H139" s="35"/>
      <c r="I139" s="198"/>
      <c r="J139" s="199"/>
      <c r="K139" s="199"/>
      <c r="L139" s="199"/>
      <c r="M139" s="199"/>
      <c r="N139" s="199"/>
      <c r="O139" s="199"/>
      <c r="P139" s="199"/>
    </row>
    <row r="140" spans="1:16" ht="21">
      <c r="A140" s="200" t="s">
        <v>90</v>
      </c>
      <c r="B140" s="200"/>
      <c r="C140" s="201"/>
      <c r="D140" s="201"/>
      <c r="E140" s="201"/>
      <c r="F140" s="201"/>
      <c r="G140" s="201"/>
      <c r="H140" s="201"/>
      <c r="I140" s="201"/>
      <c r="J140" s="201"/>
      <c r="K140" s="201"/>
      <c r="L140" s="201"/>
      <c r="M140" s="201"/>
      <c r="N140" s="201"/>
      <c r="O140" s="160"/>
      <c r="P140" s="160"/>
    </row>
    <row r="141" spans="1:16" ht="21.75" customHeight="1" thickBot="1">
      <c r="A141" s="202"/>
      <c r="B141" s="119"/>
      <c r="C141" s="141"/>
      <c r="D141" s="78"/>
      <c r="E141" s="78"/>
      <c r="F141" s="78"/>
      <c r="G141" s="78"/>
      <c r="H141" s="78"/>
      <c r="I141" s="165"/>
      <c r="J141" s="165"/>
      <c r="K141" s="165"/>
      <c r="L141" s="165"/>
      <c r="M141" s="165"/>
      <c r="N141" s="165"/>
      <c r="O141" s="165"/>
      <c r="P141" s="165"/>
    </row>
    <row r="142" spans="1:16" ht="21.75" customHeight="1">
      <c r="A142" s="2050" t="s">
        <v>91</v>
      </c>
      <c r="B142" s="2048" t="s">
        <v>179</v>
      </c>
      <c r="C142" s="2043" t="s">
        <v>9</v>
      </c>
      <c r="D142" s="554" t="s">
        <v>92</v>
      </c>
      <c r="E142" s="555"/>
      <c r="F142" s="555"/>
      <c r="G142" s="555"/>
      <c r="H142" s="555"/>
      <c r="I142" s="556"/>
      <c r="J142" s="2044" t="s">
        <v>93</v>
      </c>
      <c r="K142" s="2045"/>
      <c r="L142" s="2045"/>
      <c r="M142" s="2045"/>
      <c r="N142" s="2046"/>
      <c r="O142" s="165"/>
      <c r="P142" s="165"/>
    </row>
    <row r="143" spans="1:16" ht="113.25" customHeight="1">
      <c r="A143" s="1914"/>
      <c r="B143" s="1904"/>
      <c r="C143" s="1908"/>
      <c r="D143" s="206" t="s">
        <v>94</v>
      </c>
      <c r="E143" s="207" t="s">
        <v>95</v>
      </c>
      <c r="F143" s="208" t="s">
        <v>96</v>
      </c>
      <c r="G143" s="208" t="s">
        <v>97</v>
      </c>
      <c r="H143" s="208" t="s">
        <v>98</v>
      </c>
      <c r="I143" s="209" t="s">
        <v>99</v>
      </c>
      <c r="J143" s="210" t="s">
        <v>100</v>
      </c>
      <c r="K143" s="211" t="s">
        <v>101</v>
      </c>
      <c r="L143" s="210" t="s">
        <v>102</v>
      </c>
      <c r="M143" s="211" t="s">
        <v>101</v>
      </c>
      <c r="N143" s="212" t="s">
        <v>103</v>
      </c>
      <c r="O143" s="165"/>
      <c r="P143" s="165"/>
    </row>
    <row r="144" spans="1:16" ht="19.5" customHeight="1">
      <c r="A144" s="1898" t="s">
        <v>266</v>
      </c>
      <c r="B144" s="1899"/>
      <c r="C144" s="106">
        <v>2014</v>
      </c>
      <c r="D144" s="30"/>
      <c r="E144" s="30"/>
      <c r="F144" s="31"/>
      <c r="G144" s="175"/>
      <c r="H144" s="175"/>
      <c r="I144" s="213">
        <f>D144+F144+G144+H144</f>
        <v>0</v>
      </c>
      <c r="J144" s="214"/>
      <c r="K144" s="215"/>
      <c r="L144" s="214"/>
      <c r="M144" s="215"/>
      <c r="N144" s="216"/>
      <c r="O144" s="165"/>
      <c r="P144" s="165"/>
    </row>
    <row r="145" spans="1:16" ht="19.5" customHeight="1">
      <c r="A145" s="1891"/>
      <c r="B145" s="1899"/>
      <c r="C145" s="110">
        <v>2015</v>
      </c>
      <c r="D145" s="37"/>
      <c r="E145" s="37"/>
      <c r="F145" s="38"/>
      <c r="G145" s="178"/>
      <c r="H145" s="178"/>
      <c r="I145" s="213">
        <f t="shared" ref="I145:I150" si="13">D145+F145+G145+H145</f>
        <v>0</v>
      </c>
      <c r="J145" s="217"/>
      <c r="K145" s="218"/>
      <c r="L145" s="217"/>
      <c r="M145" s="218"/>
      <c r="N145" s="219"/>
      <c r="O145" s="165"/>
      <c r="P145" s="165"/>
    </row>
    <row r="146" spans="1:16" ht="20.25" customHeight="1">
      <c r="A146" s="1891"/>
      <c r="B146" s="1899"/>
      <c r="C146" s="110">
        <v>2016</v>
      </c>
      <c r="D146" s="37"/>
      <c r="E146" s="37"/>
      <c r="F146" s="38"/>
      <c r="G146" s="178"/>
      <c r="H146" s="178"/>
      <c r="I146" s="213">
        <f t="shared" si="13"/>
        <v>0</v>
      </c>
      <c r="J146" s="217"/>
      <c r="K146" s="218"/>
      <c r="L146" s="217"/>
      <c r="M146" s="218"/>
      <c r="N146" s="219"/>
      <c r="O146" s="165"/>
      <c r="P146" s="165"/>
    </row>
    <row r="147" spans="1:16" ht="17.25" customHeight="1">
      <c r="A147" s="1891"/>
      <c r="B147" s="1899"/>
      <c r="C147" s="110">
        <v>2017</v>
      </c>
      <c r="D147" s="37"/>
      <c r="E147" s="37"/>
      <c r="F147" s="38"/>
      <c r="G147" s="178"/>
      <c r="H147" s="178"/>
      <c r="I147" s="213">
        <f t="shared" si="13"/>
        <v>0</v>
      </c>
      <c r="J147" s="217"/>
      <c r="K147" s="218"/>
      <c r="L147" s="217"/>
      <c r="M147" s="218"/>
      <c r="N147" s="219"/>
      <c r="O147" s="165"/>
      <c r="P147" s="165"/>
    </row>
    <row r="148" spans="1:16" ht="19.5" customHeight="1">
      <c r="A148" s="1891"/>
      <c r="B148" s="1899"/>
      <c r="C148" s="110">
        <v>2018</v>
      </c>
      <c r="D148" s="37"/>
      <c r="E148" s="37"/>
      <c r="F148" s="38"/>
      <c r="G148" s="178"/>
      <c r="H148" s="178"/>
      <c r="I148" s="213">
        <f t="shared" si="13"/>
        <v>0</v>
      </c>
      <c r="J148" s="217"/>
      <c r="K148" s="218"/>
      <c r="L148" s="217"/>
      <c r="M148" s="218"/>
      <c r="N148" s="219"/>
      <c r="O148" s="165"/>
      <c r="P148" s="165"/>
    </row>
    <row r="149" spans="1:16" ht="19.5" customHeight="1">
      <c r="A149" s="1891"/>
      <c r="B149" s="1899"/>
      <c r="C149" s="110">
        <v>2019</v>
      </c>
      <c r="D149" s="37"/>
      <c r="E149" s="37"/>
      <c r="F149" s="38"/>
      <c r="G149" s="178"/>
      <c r="H149" s="178"/>
      <c r="I149" s="213">
        <f t="shared" si="13"/>
        <v>0</v>
      </c>
      <c r="J149" s="217"/>
      <c r="K149" s="218"/>
      <c r="L149" s="217"/>
      <c r="M149" s="218"/>
      <c r="N149" s="219"/>
      <c r="O149" s="165"/>
      <c r="P149" s="165"/>
    </row>
    <row r="150" spans="1:16" ht="18.75" customHeight="1">
      <c r="A150" s="1891"/>
      <c r="B150" s="1899"/>
      <c r="C150" s="110">
        <v>2020</v>
      </c>
      <c r="D150" s="37"/>
      <c r="E150" s="37"/>
      <c r="F150" s="38"/>
      <c r="G150" s="178"/>
      <c r="H150" s="178"/>
      <c r="I150" s="213">
        <f t="shared" si="13"/>
        <v>0</v>
      </c>
      <c r="J150" s="217"/>
      <c r="K150" s="218"/>
      <c r="L150" s="217"/>
      <c r="M150" s="218"/>
      <c r="N150" s="219"/>
      <c r="O150" s="165"/>
      <c r="P150" s="165"/>
    </row>
    <row r="151" spans="1:16" ht="18" customHeight="1" thickBot="1">
      <c r="A151" s="1893"/>
      <c r="B151" s="1900"/>
      <c r="C151" s="113" t="s">
        <v>13</v>
      </c>
      <c r="D151" s="139">
        <f>SUM(D144:D150)</f>
        <v>0</v>
      </c>
      <c r="E151" s="139">
        <f t="shared" ref="E151:I151" si="14">SUM(E144:E150)</f>
        <v>0</v>
      </c>
      <c r="F151" s="139">
        <f t="shared" si="14"/>
        <v>0</v>
      </c>
      <c r="G151" s="139">
        <f t="shared" si="14"/>
        <v>0</v>
      </c>
      <c r="H151" s="139">
        <f t="shared" si="14"/>
        <v>0</v>
      </c>
      <c r="I151" s="220">
        <f t="shared" si="14"/>
        <v>0</v>
      </c>
      <c r="J151" s="221">
        <f>SUM(J144:J150)</f>
        <v>0</v>
      </c>
      <c r="K151" s="222">
        <f>SUM(K144:K150)</f>
        <v>0</v>
      </c>
      <c r="L151" s="221">
        <f>SUM(L144:L150)</f>
        <v>0</v>
      </c>
      <c r="M151" s="222">
        <f>SUM(M144:M150)</f>
        <v>0</v>
      </c>
      <c r="N151" s="223">
        <f>SUM(N144:N150)</f>
        <v>0</v>
      </c>
      <c r="O151" s="165"/>
      <c r="P151" s="165"/>
    </row>
    <row r="152" spans="1:16" ht="27" customHeight="1" thickBot="1">
      <c r="B152" s="224"/>
      <c r="O152" s="165"/>
      <c r="P152" s="165"/>
    </row>
    <row r="153" spans="1:16" ht="35.25" customHeight="1">
      <c r="A153" s="2047" t="s">
        <v>105</v>
      </c>
      <c r="B153" s="2048" t="s">
        <v>179</v>
      </c>
      <c r="C153" s="2049" t="s">
        <v>9</v>
      </c>
      <c r="D153" s="557" t="s">
        <v>106</v>
      </c>
      <c r="E153" s="557"/>
      <c r="F153" s="558"/>
      <c r="G153" s="558"/>
      <c r="H153" s="557" t="s">
        <v>107</v>
      </c>
      <c r="I153" s="557"/>
      <c r="J153" s="559"/>
      <c r="K153" s="56"/>
      <c r="L153" s="56"/>
      <c r="M153" s="56"/>
      <c r="N153" s="56"/>
      <c r="O153" s="165"/>
      <c r="P153" s="165"/>
    </row>
    <row r="154" spans="1:16" ht="49.5" customHeight="1">
      <c r="A154" s="1902"/>
      <c r="B154" s="1904"/>
      <c r="C154" s="1906"/>
      <c r="D154" s="228" t="s">
        <v>108</v>
      </c>
      <c r="E154" s="229" t="s">
        <v>109</v>
      </c>
      <c r="F154" s="230" t="s">
        <v>110</v>
      </c>
      <c r="G154" s="231" t="s">
        <v>111</v>
      </c>
      <c r="H154" s="228" t="s">
        <v>112</v>
      </c>
      <c r="I154" s="229" t="s">
        <v>113</v>
      </c>
      <c r="J154" s="232" t="s">
        <v>103</v>
      </c>
      <c r="K154" s="56"/>
      <c r="L154" s="56"/>
      <c r="M154" s="56"/>
      <c r="N154" s="56"/>
      <c r="O154" s="165"/>
      <c r="P154" s="165"/>
    </row>
    <row r="155" spans="1:16" ht="18.75" customHeight="1">
      <c r="A155" s="1898" t="s">
        <v>266</v>
      </c>
      <c r="B155" s="1899"/>
      <c r="C155" s="233">
        <v>2014</v>
      </c>
      <c r="D155" s="214"/>
      <c r="E155" s="175"/>
      <c r="F155" s="215"/>
      <c r="G155" s="213">
        <f>SUM(D155:F155)</f>
        <v>0</v>
      </c>
      <c r="H155" s="214"/>
      <c r="I155" s="175"/>
      <c r="J155" s="176"/>
      <c r="O155" s="165"/>
      <c r="P155" s="165"/>
    </row>
    <row r="156" spans="1:16" ht="19.5" customHeight="1">
      <c r="A156" s="1891"/>
      <c r="B156" s="1899"/>
      <c r="C156" s="234">
        <v>2015</v>
      </c>
      <c r="D156" s="217"/>
      <c r="E156" s="178"/>
      <c r="F156" s="218"/>
      <c r="G156" s="213">
        <f t="shared" ref="G156:G161" si="15">SUM(D156:F156)</f>
        <v>0</v>
      </c>
      <c r="H156" s="217"/>
      <c r="I156" s="178"/>
      <c r="J156" s="179"/>
      <c r="O156" s="165"/>
      <c r="P156" s="165"/>
    </row>
    <row r="157" spans="1:16" ht="17.25" customHeight="1">
      <c r="A157" s="1891"/>
      <c r="B157" s="1899"/>
      <c r="C157" s="234">
        <v>2016</v>
      </c>
      <c r="D157" s="217"/>
      <c r="E157" s="178"/>
      <c r="F157" s="218"/>
      <c r="G157" s="213">
        <f t="shared" si="15"/>
        <v>0</v>
      </c>
      <c r="H157" s="217"/>
      <c r="I157" s="178"/>
      <c r="J157" s="179"/>
      <c r="O157" s="165"/>
      <c r="P157" s="165"/>
    </row>
    <row r="158" spans="1:16" ht="15" customHeight="1">
      <c r="A158" s="1891"/>
      <c r="B158" s="1899"/>
      <c r="C158" s="234">
        <v>2017</v>
      </c>
      <c r="D158" s="217"/>
      <c r="E158" s="178"/>
      <c r="F158" s="218"/>
      <c r="G158" s="213">
        <f t="shared" si="15"/>
        <v>0</v>
      </c>
      <c r="H158" s="217"/>
      <c r="I158" s="178"/>
      <c r="J158" s="179"/>
      <c r="O158" s="165"/>
      <c r="P158" s="165"/>
    </row>
    <row r="159" spans="1:16" ht="19.5" customHeight="1">
      <c r="A159" s="1891"/>
      <c r="B159" s="1899"/>
      <c r="C159" s="234">
        <v>2018</v>
      </c>
      <c r="D159" s="217"/>
      <c r="E159" s="178"/>
      <c r="F159" s="218"/>
      <c r="G159" s="213">
        <f t="shared" si="15"/>
        <v>0</v>
      </c>
      <c r="H159" s="217"/>
      <c r="I159" s="178"/>
      <c r="J159" s="179"/>
      <c r="O159" s="165"/>
      <c r="P159" s="165"/>
    </row>
    <row r="160" spans="1:16" ht="15" customHeight="1">
      <c r="A160" s="1891"/>
      <c r="B160" s="1899"/>
      <c r="C160" s="234">
        <v>2019</v>
      </c>
      <c r="D160" s="217"/>
      <c r="E160" s="178"/>
      <c r="F160" s="218"/>
      <c r="G160" s="213">
        <f t="shared" si="15"/>
        <v>0</v>
      </c>
      <c r="H160" s="217"/>
      <c r="I160" s="178"/>
      <c r="J160" s="179"/>
      <c r="O160" s="165"/>
      <c r="P160" s="165"/>
    </row>
    <row r="161" spans="1:18" ht="17.25" customHeight="1">
      <c r="A161" s="1891"/>
      <c r="B161" s="1899"/>
      <c r="C161" s="234">
        <v>2020</v>
      </c>
      <c r="D161" s="217"/>
      <c r="E161" s="178"/>
      <c r="F161" s="218"/>
      <c r="G161" s="213">
        <f t="shared" si="15"/>
        <v>0</v>
      </c>
      <c r="H161" s="217"/>
      <c r="I161" s="178"/>
      <c r="J161" s="179"/>
      <c r="O161" s="165"/>
      <c r="P161" s="165"/>
    </row>
    <row r="162" spans="1:18" ht="15.75" thickBot="1">
      <c r="A162" s="1893"/>
      <c r="B162" s="1900"/>
      <c r="C162" s="235" t="s">
        <v>13</v>
      </c>
      <c r="D162" s="221">
        <f t="shared" ref="D162:G162" si="16">SUM(D155:D161)</f>
        <v>0</v>
      </c>
      <c r="E162" s="181">
        <f t="shared" si="16"/>
        <v>0</v>
      </c>
      <c r="F162" s="222">
        <f t="shared" si="16"/>
        <v>0</v>
      </c>
      <c r="G162" s="222">
        <f t="shared" si="16"/>
        <v>0</v>
      </c>
      <c r="H162" s="221">
        <f>SUM(H155:H161)</f>
        <v>0</v>
      </c>
      <c r="I162" s="181">
        <f>SUM(I155:I161)</f>
        <v>0</v>
      </c>
      <c r="J162" s="236">
        <f>SUM(J155:J161)</f>
        <v>0</v>
      </c>
    </row>
    <row r="163" spans="1:18" ht="24.75" customHeight="1" thickBot="1">
      <c r="A163" s="237"/>
      <c r="B163" s="238"/>
      <c r="C163" s="239"/>
      <c r="D163" s="165"/>
      <c r="E163" s="560"/>
      <c r="F163" s="165"/>
      <c r="G163" s="165"/>
      <c r="H163" s="165"/>
      <c r="I163" s="165"/>
      <c r="J163" s="241"/>
      <c r="K163" s="242"/>
    </row>
    <row r="164" spans="1:18" ht="95.25" customHeight="1">
      <c r="A164" s="243" t="s">
        <v>115</v>
      </c>
      <c r="B164" s="405" t="s">
        <v>181</v>
      </c>
      <c r="C164" s="245" t="s">
        <v>9</v>
      </c>
      <c r="D164" s="246" t="s">
        <v>117</v>
      </c>
      <c r="E164" s="246" t="s">
        <v>118</v>
      </c>
      <c r="F164" s="561" t="s">
        <v>119</v>
      </c>
      <c r="G164" s="246" t="s">
        <v>120</v>
      </c>
      <c r="H164" s="246" t="s">
        <v>121</v>
      </c>
      <c r="I164" s="248" t="s">
        <v>122</v>
      </c>
      <c r="J164" s="249" t="s">
        <v>123</v>
      </c>
      <c r="K164" s="249" t="s">
        <v>124</v>
      </c>
      <c r="L164" s="406"/>
    </row>
    <row r="165" spans="1:18" ht="15.75" customHeight="1">
      <c r="A165" s="2081" t="s">
        <v>266</v>
      </c>
      <c r="B165" s="1977"/>
      <c r="C165" s="251">
        <v>2014</v>
      </c>
      <c r="D165" s="175"/>
      <c r="E165" s="175"/>
      <c r="F165" s="175"/>
      <c r="G165" s="175"/>
      <c r="H165" s="175"/>
      <c r="I165" s="176"/>
      <c r="J165" s="252">
        <f>SUM(D165,F165,H165)</f>
        <v>0</v>
      </c>
      <c r="K165" s="253">
        <f>SUM(E165,G165,I165)</f>
        <v>0</v>
      </c>
      <c r="L165" s="406"/>
    </row>
    <row r="166" spans="1:18">
      <c r="A166" s="2082"/>
      <c r="B166" s="1855"/>
      <c r="C166" s="254">
        <v>2015</v>
      </c>
      <c r="D166" s="255"/>
      <c r="E166" s="255"/>
      <c r="F166" s="255"/>
      <c r="G166" s="255"/>
      <c r="H166" s="255"/>
      <c r="I166" s="256"/>
      <c r="J166" s="407">
        <f t="shared" ref="J166:K171" si="17">SUM(D166,F166,H166)</f>
        <v>0</v>
      </c>
      <c r="K166" s="408">
        <f t="shared" si="17"/>
        <v>0</v>
      </c>
      <c r="L166" s="406"/>
    </row>
    <row r="167" spans="1:18">
      <c r="A167" s="2082"/>
      <c r="B167" s="1855"/>
      <c r="C167" s="254">
        <v>2016</v>
      </c>
      <c r="D167" s="255"/>
      <c r="E167" s="255"/>
      <c r="F167" s="255"/>
      <c r="G167" s="255"/>
      <c r="H167" s="255"/>
      <c r="I167" s="256"/>
      <c r="J167" s="407">
        <f t="shared" si="17"/>
        <v>0</v>
      </c>
      <c r="K167" s="408">
        <f t="shared" si="17"/>
        <v>0</v>
      </c>
    </row>
    <row r="168" spans="1:18">
      <c r="A168" s="2082"/>
      <c r="B168" s="1855"/>
      <c r="C168" s="254">
        <v>2017</v>
      </c>
      <c r="D168" s="255"/>
      <c r="E168" s="165"/>
      <c r="F168" s="255"/>
      <c r="G168" s="255"/>
      <c r="H168" s="255"/>
      <c r="I168" s="256"/>
      <c r="J168" s="407">
        <f t="shared" si="17"/>
        <v>0</v>
      </c>
      <c r="K168" s="408">
        <f t="shared" si="17"/>
        <v>0</v>
      </c>
    </row>
    <row r="169" spans="1:18">
      <c r="A169" s="2082"/>
      <c r="B169" s="1855"/>
      <c r="C169" s="262">
        <v>2018</v>
      </c>
      <c r="D169" s="255"/>
      <c r="E169" s="255"/>
      <c r="F169" s="255"/>
      <c r="G169" s="263"/>
      <c r="H169" s="255"/>
      <c r="I169" s="256"/>
      <c r="J169" s="407">
        <f t="shared" si="17"/>
        <v>0</v>
      </c>
      <c r="K169" s="408">
        <f t="shared" si="17"/>
        <v>0</v>
      </c>
      <c r="L169" s="406"/>
    </row>
    <row r="170" spans="1:18">
      <c r="A170" s="2082"/>
      <c r="B170" s="1855"/>
      <c r="C170" s="254">
        <v>2019</v>
      </c>
      <c r="D170" s="165"/>
      <c r="E170" s="255"/>
      <c r="F170" s="255"/>
      <c r="G170" s="255"/>
      <c r="H170" s="263"/>
      <c r="I170" s="256"/>
      <c r="J170" s="407">
        <f t="shared" si="17"/>
        <v>0</v>
      </c>
      <c r="K170" s="408">
        <f t="shared" si="17"/>
        <v>0</v>
      </c>
      <c r="L170" s="406"/>
    </row>
    <row r="171" spans="1:18">
      <c r="A171" s="2082"/>
      <c r="B171" s="1855"/>
      <c r="C171" s="262">
        <v>2020</v>
      </c>
      <c r="D171" s="255"/>
      <c r="E171" s="255"/>
      <c r="F171" s="255"/>
      <c r="G171" s="255"/>
      <c r="H171" s="255"/>
      <c r="I171" s="256"/>
      <c r="J171" s="407">
        <f t="shared" si="17"/>
        <v>0</v>
      </c>
      <c r="K171" s="408">
        <f t="shared" si="17"/>
        <v>0</v>
      </c>
      <c r="L171" s="406"/>
    </row>
    <row r="172" spans="1:18" ht="41.25" customHeight="1" thickBot="1">
      <c r="A172" s="2083"/>
      <c r="B172" s="1857"/>
      <c r="C172" s="265" t="s">
        <v>13</v>
      </c>
      <c r="D172" s="181">
        <f>SUM(D165:D171)</f>
        <v>0</v>
      </c>
      <c r="E172" s="181">
        <f t="shared" ref="E172:K172" si="18">SUM(E165:E171)</f>
        <v>0</v>
      </c>
      <c r="F172" s="181">
        <f t="shared" si="18"/>
        <v>0</v>
      </c>
      <c r="G172" s="181">
        <f t="shared" si="18"/>
        <v>0</v>
      </c>
      <c r="H172" s="181">
        <f t="shared" si="18"/>
        <v>0</v>
      </c>
      <c r="I172" s="409">
        <f t="shared" si="18"/>
        <v>0</v>
      </c>
      <c r="J172" s="410">
        <f t="shared" si="18"/>
        <v>0</v>
      </c>
      <c r="K172" s="221">
        <f t="shared" si="18"/>
        <v>0</v>
      </c>
      <c r="L172" s="406"/>
    </row>
    <row r="173" spans="1:18" s="65" customFormat="1" ht="18.75" customHeight="1">
      <c r="A173" s="269"/>
      <c r="B173" s="80"/>
      <c r="C173" s="81"/>
      <c r="D173" s="35"/>
      <c r="E173" s="35"/>
      <c r="F173" s="35"/>
      <c r="G173" s="199"/>
      <c r="H173" s="199"/>
      <c r="I173" s="199"/>
      <c r="J173" s="199"/>
      <c r="K173" s="199"/>
      <c r="L173" s="199"/>
      <c r="M173" s="199"/>
      <c r="N173" s="199"/>
      <c r="O173" s="199"/>
      <c r="P173" s="199"/>
      <c r="Q173" s="199"/>
      <c r="R173" s="198"/>
    </row>
    <row r="174" spans="1:18" ht="21">
      <c r="A174" s="270" t="s">
        <v>126</v>
      </c>
      <c r="B174" s="270"/>
      <c r="C174" s="271"/>
      <c r="D174" s="271"/>
      <c r="E174" s="271"/>
      <c r="F174" s="271"/>
      <c r="G174" s="271"/>
      <c r="H174" s="271"/>
      <c r="I174" s="271"/>
      <c r="J174" s="271"/>
      <c r="K174" s="271"/>
      <c r="L174" s="271"/>
      <c r="M174" s="271"/>
      <c r="N174" s="271"/>
      <c r="O174" s="271"/>
    </row>
    <row r="175" spans="1:18" ht="18.75" customHeight="1" thickBot="1">
      <c r="A175" s="272"/>
      <c r="B175" s="272"/>
    </row>
    <row r="176" spans="1:18" s="56" customFormat="1" ht="22.5" customHeight="1" thickBot="1">
      <c r="A176" s="2039" t="s">
        <v>127</v>
      </c>
      <c r="B176" s="2037" t="s">
        <v>182</v>
      </c>
      <c r="C176" s="2040" t="s">
        <v>9</v>
      </c>
      <c r="D176" s="273" t="s">
        <v>128</v>
      </c>
      <c r="E176" s="562"/>
      <c r="F176" s="562"/>
      <c r="G176" s="563"/>
      <c r="H176" s="276"/>
      <c r="I176" s="1888" t="s">
        <v>129</v>
      </c>
      <c r="J176" s="2041"/>
      <c r="K176" s="2041"/>
      <c r="L176" s="2041"/>
      <c r="M176" s="2041"/>
      <c r="N176" s="2041"/>
      <c r="O176" s="2042"/>
    </row>
    <row r="177" spans="1:15" s="56" customFormat="1" ht="129.75" customHeight="1">
      <c r="A177" s="1885"/>
      <c r="B177" s="1864"/>
      <c r="C177" s="1887"/>
      <c r="D177" s="277" t="s">
        <v>130</v>
      </c>
      <c r="E177" s="278" t="s">
        <v>131</v>
      </c>
      <c r="F177" s="278" t="s">
        <v>132</v>
      </c>
      <c r="G177" s="279" t="s">
        <v>133</v>
      </c>
      <c r="H177" s="280" t="s">
        <v>134</v>
      </c>
      <c r="I177" s="281" t="s">
        <v>59</v>
      </c>
      <c r="J177" s="282" t="s">
        <v>60</v>
      </c>
      <c r="K177" s="282" t="s">
        <v>61</v>
      </c>
      <c r="L177" s="282" t="s">
        <v>62</v>
      </c>
      <c r="M177" s="282" t="s">
        <v>63</v>
      </c>
      <c r="N177" s="282" t="s">
        <v>64</v>
      </c>
      <c r="O177" s="283" t="s">
        <v>65</v>
      </c>
    </row>
    <row r="178" spans="1:15" ht="30" customHeight="1">
      <c r="A178" s="1898" t="s">
        <v>270</v>
      </c>
      <c r="B178" s="1899"/>
      <c r="C178" s="106">
        <v>2014</v>
      </c>
      <c r="D178" s="30"/>
      <c r="E178" s="31"/>
      <c r="F178" s="31"/>
      <c r="G178" s="284">
        <f>SUM(D178:F178)</f>
        <v>0</v>
      </c>
      <c r="H178" s="155"/>
      <c r="I178" s="155"/>
      <c r="J178" s="31"/>
      <c r="K178" s="31"/>
      <c r="L178" s="31"/>
      <c r="M178" s="31"/>
      <c r="N178" s="31"/>
      <c r="O178" s="34"/>
    </row>
    <row r="179" spans="1:15" ht="30" customHeight="1">
      <c r="A179" s="1891"/>
      <c r="B179" s="1899"/>
      <c r="C179" s="110">
        <v>2015</v>
      </c>
      <c r="D179" s="37">
        <v>4</v>
      </c>
      <c r="E179" s="38">
        <v>1</v>
      </c>
      <c r="F179" s="38"/>
      <c r="G179" s="284">
        <f t="shared" ref="G179:G184" si="19">SUM(D179:F179)</f>
        <v>5</v>
      </c>
      <c r="H179" s="411"/>
      <c r="I179" s="112"/>
      <c r="J179" s="38"/>
      <c r="K179" s="38">
        <v>1</v>
      </c>
      <c r="L179" s="38">
        <v>1</v>
      </c>
      <c r="M179" s="38"/>
      <c r="N179" s="38"/>
      <c r="O179" s="88">
        <v>3</v>
      </c>
    </row>
    <row r="180" spans="1:15" ht="30" customHeight="1">
      <c r="A180" s="1891"/>
      <c r="B180" s="1899"/>
      <c r="C180" s="110">
        <v>2016</v>
      </c>
      <c r="D180" s="37">
        <v>52</v>
      </c>
      <c r="E180" s="38">
        <v>3</v>
      </c>
      <c r="F180" s="38">
        <v>0</v>
      </c>
      <c r="G180" s="284">
        <f t="shared" si="19"/>
        <v>55</v>
      </c>
      <c r="H180" s="411">
        <v>68</v>
      </c>
      <c r="I180" s="112"/>
      <c r="J180" s="38">
        <v>1</v>
      </c>
      <c r="K180" s="38"/>
      <c r="L180" s="38">
        <v>48</v>
      </c>
      <c r="M180" s="38">
        <v>1</v>
      </c>
      <c r="N180" s="38"/>
      <c r="O180" s="88">
        <v>5</v>
      </c>
    </row>
    <row r="181" spans="1:15" ht="30" customHeight="1">
      <c r="A181" s="1891"/>
      <c r="B181" s="1899"/>
      <c r="C181" s="110">
        <v>2017</v>
      </c>
      <c r="D181" s="37">
        <v>10</v>
      </c>
      <c r="E181" s="38">
        <v>1</v>
      </c>
      <c r="F181" s="38"/>
      <c r="G181" s="284">
        <f t="shared" si="19"/>
        <v>11</v>
      </c>
      <c r="H181" s="411"/>
      <c r="I181" s="112"/>
      <c r="J181" s="38"/>
      <c r="K181" s="38"/>
      <c r="L181" s="38">
        <v>5</v>
      </c>
      <c r="M181" s="38">
        <v>2</v>
      </c>
      <c r="N181" s="38"/>
      <c r="O181" s="88">
        <v>4</v>
      </c>
    </row>
    <row r="182" spans="1:15" ht="30" customHeight="1">
      <c r="A182" s="1891"/>
      <c r="B182" s="1899"/>
      <c r="C182" s="110">
        <v>2018</v>
      </c>
      <c r="D182" s="37"/>
      <c r="E182" s="38"/>
      <c r="F182" s="38"/>
      <c r="G182" s="284">
        <f t="shared" si="19"/>
        <v>0</v>
      </c>
      <c r="H182" s="411"/>
      <c r="I182" s="112"/>
      <c r="J182" s="38"/>
      <c r="K182" s="38"/>
      <c r="L182" s="38"/>
      <c r="M182" s="38"/>
      <c r="N182" s="38"/>
      <c r="O182" s="88"/>
    </row>
    <row r="183" spans="1:15" ht="30" customHeight="1">
      <c r="A183" s="1891"/>
      <c r="B183" s="1899"/>
      <c r="C183" s="110">
        <v>2019</v>
      </c>
      <c r="D183" s="37"/>
      <c r="E183" s="38"/>
      <c r="F183" s="38"/>
      <c r="G183" s="284">
        <f t="shared" si="19"/>
        <v>0</v>
      </c>
      <c r="H183" s="411"/>
      <c r="I183" s="112"/>
      <c r="J183" s="38"/>
      <c r="K183" s="38"/>
      <c r="L183" s="38"/>
      <c r="M183" s="38"/>
      <c r="N183" s="38"/>
      <c r="O183" s="88"/>
    </row>
    <row r="184" spans="1:15" ht="30" customHeight="1">
      <c r="A184" s="1891"/>
      <c r="B184" s="1899"/>
      <c r="C184" s="110">
        <v>2020</v>
      </c>
      <c r="D184" s="37"/>
      <c r="E184" s="38"/>
      <c r="F184" s="38"/>
      <c r="G184" s="284">
        <f t="shared" si="19"/>
        <v>0</v>
      </c>
      <c r="H184" s="411"/>
      <c r="I184" s="112"/>
      <c r="J184" s="38"/>
      <c r="K184" s="38"/>
      <c r="L184" s="38"/>
      <c r="M184" s="38"/>
      <c r="N184" s="38"/>
      <c r="O184" s="88"/>
    </row>
    <row r="185" spans="1:15" ht="30" customHeight="1" thickBot="1">
      <c r="A185" s="1893"/>
      <c r="B185" s="1900"/>
      <c r="C185" s="113" t="s">
        <v>13</v>
      </c>
      <c r="D185" s="139">
        <f>SUM(D178:D184)</f>
        <v>66</v>
      </c>
      <c r="E185" s="116">
        <f>SUM(E178:E184)</f>
        <v>5</v>
      </c>
      <c r="F185" s="116">
        <f>SUM(F178:F184)</f>
        <v>0</v>
      </c>
      <c r="G185" s="220">
        <f t="shared" ref="G185:O185" si="20">SUM(G178:G184)</f>
        <v>71</v>
      </c>
      <c r="H185" s="285">
        <f t="shared" si="20"/>
        <v>68</v>
      </c>
      <c r="I185" s="115">
        <f t="shared" si="20"/>
        <v>0</v>
      </c>
      <c r="J185" s="116">
        <f t="shared" si="20"/>
        <v>1</v>
      </c>
      <c r="K185" s="116">
        <f t="shared" si="20"/>
        <v>1</v>
      </c>
      <c r="L185" s="116">
        <f t="shared" si="20"/>
        <v>54</v>
      </c>
      <c r="M185" s="116">
        <f t="shared" si="20"/>
        <v>3</v>
      </c>
      <c r="N185" s="116">
        <f t="shared" si="20"/>
        <v>0</v>
      </c>
      <c r="O185" s="117">
        <f t="shared" si="20"/>
        <v>12</v>
      </c>
    </row>
    <row r="186" spans="1:15" ht="21" customHeight="1" thickBot="1"/>
    <row r="187" spans="1:15" ht="19.5" customHeight="1">
      <c r="A187" s="1861" t="s">
        <v>137</v>
      </c>
      <c r="B187" s="2037" t="s">
        <v>182</v>
      </c>
      <c r="C187" s="1865" t="s">
        <v>9</v>
      </c>
      <c r="D187" s="1867" t="s">
        <v>138</v>
      </c>
      <c r="E187" s="2038"/>
      <c r="F187" s="2038"/>
      <c r="G187" s="1869"/>
      <c r="H187" s="1870" t="s">
        <v>139</v>
      </c>
      <c r="I187" s="1865"/>
      <c r="J187" s="1865"/>
      <c r="K187" s="1865"/>
      <c r="L187" s="1871"/>
    </row>
    <row r="188" spans="1:15" ht="90">
      <c r="A188" s="1862"/>
      <c r="B188" s="1864"/>
      <c r="C188" s="1866"/>
      <c r="D188" s="286" t="s">
        <v>140</v>
      </c>
      <c r="E188" s="286" t="s">
        <v>141</v>
      </c>
      <c r="F188" s="286" t="s">
        <v>142</v>
      </c>
      <c r="G188" s="287" t="s">
        <v>13</v>
      </c>
      <c r="H188" s="288" t="s">
        <v>143</v>
      </c>
      <c r="I188" s="286" t="s">
        <v>144</v>
      </c>
      <c r="J188" s="286" t="s">
        <v>145</v>
      </c>
      <c r="K188" s="286" t="s">
        <v>146</v>
      </c>
      <c r="L188" s="289" t="s">
        <v>147</v>
      </c>
    </row>
    <row r="189" spans="1:15" ht="18.75" customHeight="1">
      <c r="A189" s="1872" t="s">
        <v>271</v>
      </c>
      <c r="B189" s="2075"/>
      <c r="C189" s="290">
        <v>2014</v>
      </c>
      <c r="D189" s="133"/>
      <c r="E189" s="109"/>
      <c r="F189" s="109"/>
      <c r="G189" s="291">
        <f>SUM(D189:F189)</f>
        <v>0</v>
      </c>
      <c r="H189" s="108"/>
      <c r="I189" s="109"/>
      <c r="J189" s="109"/>
      <c r="K189" s="109"/>
      <c r="L189" s="134"/>
    </row>
    <row r="190" spans="1:15" ht="18.75" customHeight="1">
      <c r="A190" s="1874"/>
      <c r="B190" s="2076"/>
      <c r="C190" s="73">
        <v>2015</v>
      </c>
      <c r="D190" s="37">
        <v>316</v>
      </c>
      <c r="E190" s="38">
        <v>30</v>
      </c>
      <c r="F190" s="38"/>
      <c r="G190" s="291">
        <f t="shared" ref="G190:G195" si="21">SUM(D190:F190)</f>
        <v>346</v>
      </c>
      <c r="H190" s="112"/>
      <c r="I190" s="38"/>
      <c r="J190" s="38"/>
      <c r="K190" s="38"/>
      <c r="L190" s="88">
        <v>346</v>
      </c>
    </row>
    <row r="191" spans="1:15" ht="18.75" customHeight="1">
      <c r="A191" s="1874"/>
      <c r="B191" s="2076"/>
      <c r="C191" s="73">
        <v>2016</v>
      </c>
      <c r="D191" s="37">
        <v>1175</v>
      </c>
      <c r="E191" s="38">
        <v>49</v>
      </c>
      <c r="F191" s="38">
        <v>0</v>
      </c>
      <c r="G191" s="291">
        <f t="shared" si="21"/>
        <v>1224</v>
      </c>
      <c r="H191" s="112"/>
      <c r="I191" s="38"/>
      <c r="J191" s="91">
        <v>34</v>
      </c>
      <c r="K191" s="91"/>
      <c r="L191" s="603">
        <v>1190</v>
      </c>
    </row>
    <row r="192" spans="1:15" ht="18.75" customHeight="1">
      <c r="A192" s="1874"/>
      <c r="B192" s="2076"/>
      <c r="C192" s="73">
        <v>2017</v>
      </c>
      <c r="D192" s="37">
        <v>3450</v>
      </c>
      <c r="E192" s="38">
        <v>6</v>
      </c>
      <c r="F192" s="38"/>
      <c r="G192" s="291">
        <f t="shared" si="21"/>
        <v>3456</v>
      </c>
      <c r="H192" s="112"/>
      <c r="I192" s="38">
        <v>406</v>
      </c>
      <c r="J192" s="38"/>
      <c r="K192" s="38"/>
      <c r="L192" s="88">
        <v>3050</v>
      </c>
    </row>
    <row r="193" spans="1:14" ht="18.75" customHeight="1">
      <c r="A193" s="1874"/>
      <c r="B193" s="2076"/>
      <c r="C193" s="73">
        <v>2018</v>
      </c>
      <c r="D193" s="37"/>
      <c r="E193" s="38"/>
      <c r="F193" s="38"/>
      <c r="G193" s="291">
        <f t="shared" si="21"/>
        <v>0</v>
      </c>
      <c r="H193" s="112"/>
      <c r="I193" s="38"/>
      <c r="J193" s="38"/>
      <c r="K193" s="38"/>
      <c r="L193" s="88"/>
    </row>
    <row r="194" spans="1:14" ht="18.75" customHeight="1">
      <c r="A194" s="1874"/>
      <c r="B194" s="2076"/>
      <c r="C194" s="73">
        <v>2019</v>
      </c>
      <c r="D194" s="37"/>
      <c r="E194" s="38"/>
      <c r="F194" s="38"/>
      <c r="G194" s="291">
        <f t="shared" si="21"/>
        <v>0</v>
      </c>
      <c r="H194" s="112"/>
      <c r="I194" s="38"/>
      <c r="J194" s="38"/>
      <c r="K194" s="38"/>
      <c r="L194" s="88"/>
    </row>
    <row r="195" spans="1:14" ht="18.75" customHeight="1">
      <c r="A195" s="1874"/>
      <c r="B195" s="2076"/>
      <c r="C195" s="73">
        <v>2020</v>
      </c>
      <c r="D195" s="37"/>
      <c r="E195" s="38"/>
      <c r="F195" s="38"/>
      <c r="G195" s="291">
        <f t="shared" si="21"/>
        <v>0</v>
      </c>
      <c r="H195" s="112"/>
      <c r="I195" s="38"/>
      <c r="J195" s="38"/>
      <c r="K195" s="38"/>
      <c r="L195" s="88"/>
    </row>
    <row r="196" spans="1:14" ht="18.75" customHeight="1" thickBot="1">
      <c r="A196" s="1876"/>
      <c r="B196" s="2077"/>
      <c r="C196" s="136" t="s">
        <v>13</v>
      </c>
      <c r="D196" s="139">
        <f t="shared" ref="D196:L196" si="22">SUM(D189:D195)</f>
        <v>4941</v>
      </c>
      <c r="E196" s="116">
        <f t="shared" si="22"/>
        <v>85</v>
      </c>
      <c r="F196" s="116">
        <f t="shared" si="22"/>
        <v>0</v>
      </c>
      <c r="G196" s="292">
        <f t="shared" si="22"/>
        <v>5026</v>
      </c>
      <c r="H196" s="115">
        <f t="shared" si="22"/>
        <v>0</v>
      </c>
      <c r="I196" s="116">
        <f t="shared" si="22"/>
        <v>406</v>
      </c>
      <c r="J196" s="116">
        <f t="shared" si="22"/>
        <v>34</v>
      </c>
      <c r="K196" s="116">
        <f t="shared" si="22"/>
        <v>0</v>
      </c>
      <c r="L196" s="117">
        <f t="shared" si="22"/>
        <v>4586</v>
      </c>
    </row>
    <row r="197" spans="1:14" ht="10.5" customHeight="1"/>
    <row r="198" spans="1:14" ht="6.75" customHeight="1"/>
    <row r="199" spans="1:14" ht="21">
      <c r="A199" s="293" t="s">
        <v>149</v>
      </c>
      <c r="B199" s="293"/>
      <c r="C199" s="294"/>
      <c r="D199" s="294"/>
      <c r="E199" s="294"/>
      <c r="F199" s="294"/>
      <c r="G199" s="294"/>
      <c r="H199" s="294"/>
      <c r="I199" s="294"/>
      <c r="J199" s="294"/>
      <c r="K199" s="294"/>
      <c r="L199" s="294"/>
      <c r="M199" s="65"/>
      <c r="N199" s="65"/>
    </row>
    <row r="200" spans="1:14" ht="10.5" customHeight="1" thickBot="1">
      <c r="A200" s="295"/>
      <c r="B200" s="295"/>
      <c r="C200" s="294"/>
      <c r="D200" s="294"/>
      <c r="E200" s="294"/>
      <c r="F200" s="294"/>
      <c r="G200" s="294"/>
      <c r="H200" s="294"/>
      <c r="I200" s="294"/>
      <c r="J200" s="294"/>
      <c r="K200" s="294"/>
      <c r="L200" s="294"/>
    </row>
    <row r="201" spans="1:14" s="56" customFormat="1" ht="101.25" customHeight="1">
      <c r="A201" s="569" t="s">
        <v>150</v>
      </c>
      <c r="B201" s="417" t="s">
        <v>182</v>
      </c>
      <c r="C201" s="298" t="s">
        <v>9</v>
      </c>
      <c r="D201" s="299" t="s">
        <v>151</v>
      </c>
      <c r="E201" s="300" t="s">
        <v>152</v>
      </c>
      <c r="F201" s="300" t="s">
        <v>153</v>
      </c>
      <c r="G201" s="298" t="s">
        <v>154</v>
      </c>
      <c r="H201" s="570" t="s">
        <v>155</v>
      </c>
      <c r="I201" s="302" t="s">
        <v>156</v>
      </c>
      <c r="J201" s="303" t="s">
        <v>157</v>
      </c>
      <c r="K201" s="300" t="s">
        <v>158</v>
      </c>
      <c r="L201" s="304" t="s">
        <v>159</v>
      </c>
    </row>
    <row r="202" spans="1:14" ht="15" customHeight="1">
      <c r="A202" s="1854" t="s">
        <v>266</v>
      </c>
      <c r="B202" s="1855"/>
      <c r="C202" s="72">
        <v>2014</v>
      </c>
      <c r="D202" s="30"/>
      <c r="E202" s="31"/>
      <c r="F202" s="31"/>
      <c r="G202" s="29"/>
      <c r="H202" s="305"/>
      <c r="I202" s="306"/>
      <c r="J202" s="307"/>
      <c r="K202" s="31"/>
      <c r="L202" s="34"/>
    </row>
    <row r="203" spans="1:14">
      <c r="A203" s="1854"/>
      <c r="B203" s="1855"/>
      <c r="C203" s="73">
        <v>2015</v>
      </c>
      <c r="D203" s="37"/>
      <c r="E203" s="38"/>
      <c r="F203" s="38"/>
      <c r="G203" s="36"/>
      <c r="H203" s="308"/>
      <c r="I203" s="309"/>
      <c r="J203" s="310"/>
      <c r="K203" s="38"/>
      <c r="L203" s="88"/>
    </row>
    <row r="204" spans="1:14">
      <c r="A204" s="1854"/>
      <c r="B204" s="1855"/>
      <c r="C204" s="73">
        <v>2016</v>
      </c>
      <c r="D204" s="37"/>
      <c r="E204" s="38"/>
      <c r="F204" s="38"/>
      <c r="G204" s="36"/>
      <c r="H204" s="308"/>
      <c r="I204" s="309"/>
      <c r="J204" s="310"/>
      <c r="K204" s="38"/>
      <c r="L204" s="88"/>
    </row>
    <row r="205" spans="1:14">
      <c r="A205" s="1854"/>
      <c r="B205" s="1855"/>
      <c r="C205" s="73">
        <v>2017</v>
      </c>
      <c r="D205" s="37"/>
      <c r="E205" s="38"/>
      <c r="F205" s="38"/>
      <c r="G205" s="36"/>
      <c r="H205" s="308"/>
      <c r="I205" s="309"/>
      <c r="J205" s="310"/>
      <c r="K205" s="38"/>
      <c r="L205" s="88"/>
    </row>
    <row r="206" spans="1:14">
      <c r="A206" s="1854"/>
      <c r="B206" s="1855"/>
      <c r="C206" s="73">
        <v>2018</v>
      </c>
      <c r="D206" s="37"/>
      <c r="E206" s="38"/>
      <c r="F206" s="38"/>
      <c r="G206" s="36"/>
      <c r="H206" s="308"/>
      <c r="I206" s="309"/>
      <c r="J206" s="310"/>
      <c r="K206" s="38"/>
      <c r="L206" s="88"/>
    </row>
    <row r="207" spans="1:14">
      <c r="A207" s="1854"/>
      <c r="B207" s="1855"/>
      <c r="C207" s="73">
        <v>2019</v>
      </c>
      <c r="D207" s="37"/>
      <c r="E207" s="38"/>
      <c r="F207" s="38"/>
      <c r="G207" s="36"/>
      <c r="H207" s="308"/>
      <c r="I207" s="309"/>
      <c r="J207" s="310"/>
      <c r="K207" s="38"/>
      <c r="L207" s="88"/>
    </row>
    <row r="208" spans="1:14">
      <c r="A208" s="1854"/>
      <c r="B208" s="1855"/>
      <c r="C208" s="73">
        <v>2020</v>
      </c>
      <c r="D208" s="311"/>
      <c r="E208" s="312"/>
      <c r="F208" s="312"/>
      <c r="G208" s="313"/>
      <c r="H208" s="314"/>
      <c r="I208" s="315"/>
      <c r="J208" s="316"/>
      <c r="K208" s="312"/>
      <c r="L208" s="317"/>
    </row>
    <row r="209" spans="1:12" ht="20.25" customHeight="1" thickBot="1">
      <c r="A209" s="1856"/>
      <c r="B209" s="1857"/>
      <c r="C209" s="136" t="s">
        <v>13</v>
      </c>
      <c r="D209" s="139">
        <f>SUM(D202:D208)</f>
        <v>0</v>
      </c>
      <c r="E209" s="139">
        <f t="shared" ref="E209:L209" si="23">SUM(E202:E208)</f>
        <v>0</v>
      </c>
      <c r="F209" s="139">
        <f t="shared" si="23"/>
        <v>0</v>
      </c>
      <c r="G209" s="139">
        <f t="shared" si="23"/>
        <v>0</v>
      </c>
      <c r="H209" s="139">
        <f t="shared" si="23"/>
        <v>0</v>
      </c>
      <c r="I209" s="139">
        <f t="shared" si="23"/>
        <v>0</v>
      </c>
      <c r="J209" s="139">
        <f t="shared" si="23"/>
        <v>0</v>
      </c>
      <c r="K209" s="139">
        <f t="shared" si="23"/>
        <v>0</v>
      </c>
      <c r="L209" s="139">
        <f t="shared" si="23"/>
        <v>0</v>
      </c>
    </row>
    <row r="211" spans="1:12" ht="15.75" thickBot="1"/>
    <row r="212" spans="1:12" ht="29.25">
      <c r="A212" s="571" t="s">
        <v>161</v>
      </c>
      <c r="B212" s="322" t="s">
        <v>162</v>
      </c>
      <c r="C212" s="323">
        <v>2014</v>
      </c>
      <c r="D212" s="324">
        <v>2015</v>
      </c>
      <c r="E212" s="324">
        <v>2016</v>
      </c>
      <c r="F212" s="324">
        <v>2017</v>
      </c>
      <c r="G212" s="324">
        <v>2018</v>
      </c>
      <c r="H212" s="324">
        <v>2019</v>
      </c>
      <c r="I212" s="325">
        <v>2020</v>
      </c>
    </row>
    <row r="213" spans="1:12" ht="30.75" customHeight="1">
      <c r="A213" t="s">
        <v>163</v>
      </c>
      <c r="B213" s="2078" t="s">
        <v>272</v>
      </c>
      <c r="C213" s="72"/>
      <c r="D213" s="604">
        <f>SUM(D214:D217)</f>
        <v>108328.41</v>
      </c>
      <c r="E213" s="604">
        <f>SUM(E214:E217)</f>
        <v>574393.78</v>
      </c>
      <c r="F213" s="605">
        <f>SUM(F214:F217)</f>
        <v>487295.04</v>
      </c>
      <c r="G213" s="135"/>
      <c r="H213" s="135"/>
      <c r="I213" s="326"/>
    </row>
    <row r="214" spans="1:12" ht="37.5" customHeight="1">
      <c r="A214" t="s">
        <v>164</v>
      </c>
      <c r="B214" s="2079"/>
      <c r="C214" s="72"/>
      <c r="D214" s="328">
        <v>81629.73</v>
      </c>
      <c r="E214" s="606">
        <v>331249.19</v>
      </c>
      <c r="F214" s="606">
        <v>253129.97</v>
      </c>
      <c r="G214" s="135"/>
      <c r="H214" s="135"/>
      <c r="I214" s="326"/>
    </row>
    <row r="215" spans="1:12" ht="44.25" customHeight="1">
      <c r="A215" t="s">
        <v>165</v>
      </c>
      <c r="B215" s="2079"/>
      <c r="C215" s="72"/>
      <c r="D215" s="328">
        <v>0</v>
      </c>
      <c r="E215" s="606">
        <v>0</v>
      </c>
      <c r="F215" s="606">
        <v>0</v>
      </c>
      <c r="G215" s="135"/>
      <c r="H215" s="135"/>
      <c r="I215" s="326"/>
    </row>
    <row r="216" spans="1:12" ht="39.75" customHeight="1">
      <c r="A216" t="s">
        <v>166</v>
      </c>
      <c r="B216" s="2079"/>
      <c r="C216" s="72"/>
      <c r="D216" s="328">
        <v>15450</v>
      </c>
      <c r="E216" s="606">
        <v>122534.84</v>
      </c>
      <c r="F216" s="606">
        <v>126770.25</v>
      </c>
      <c r="G216" s="135"/>
      <c r="H216" s="135"/>
      <c r="I216" s="326"/>
    </row>
    <row r="217" spans="1:12" ht="36.75" customHeight="1">
      <c r="A217" t="s">
        <v>167</v>
      </c>
      <c r="B217" s="2079"/>
      <c r="C217" s="72"/>
      <c r="D217" s="328">
        <v>11248.68</v>
      </c>
      <c r="E217" s="606">
        <v>120609.75</v>
      </c>
      <c r="F217" s="606">
        <v>107394.82</v>
      </c>
      <c r="G217" s="135"/>
      <c r="H217" s="135"/>
      <c r="I217" s="326"/>
    </row>
    <row r="218" spans="1:12" ht="57" customHeight="1">
      <c r="A218" s="56" t="s">
        <v>168</v>
      </c>
      <c r="B218" s="2079"/>
      <c r="C218" s="72"/>
      <c r="D218" s="328">
        <v>189328.14</v>
      </c>
      <c r="E218" s="604">
        <v>292064.26</v>
      </c>
      <c r="F218" s="604">
        <v>228462.72</v>
      </c>
      <c r="G218" s="135"/>
      <c r="H218" s="135"/>
      <c r="I218" s="326"/>
    </row>
    <row r="219" spans="1:12" ht="30" customHeight="1" thickBot="1">
      <c r="A219" s="331"/>
      <c r="B219" s="2080"/>
      <c r="C219" s="42" t="s">
        <v>13</v>
      </c>
      <c r="D219" s="332">
        <f>SUM(D214:D218)</f>
        <v>297656.55000000005</v>
      </c>
      <c r="E219" s="332">
        <f>SUM(E213,E218)</f>
        <v>866458.04</v>
      </c>
      <c r="F219" s="332">
        <f t="shared" ref="F219:I219" si="24">SUM(F214:F218)</f>
        <v>715757.76</v>
      </c>
      <c r="G219" s="333">
        <f t="shared" si="24"/>
        <v>0</v>
      </c>
      <c r="H219" s="333">
        <f t="shared" si="24"/>
        <v>0</v>
      </c>
      <c r="I219" s="333">
        <f t="shared" si="24"/>
        <v>0</v>
      </c>
    </row>
  </sheetData>
  <mergeCells count="56">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A120:B127"/>
    <mergeCell ref="D96:E96"/>
    <mergeCell ref="A98:B105"/>
    <mergeCell ref="A107:A108"/>
    <mergeCell ref="B107:B108"/>
    <mergeCell ref="C107:C108"/>
    <mergeCell ref="D107:D108"/>
    <mergeCell ref="C96:C97"/>
    <mergeCell ref="A109:B116"/>
    <mergeCell ref="A118:A119"/>
    <mergeCell ref="B118:B119"/>
    <mergeCell ref="C118:C119"/>
    <mergeCell ref="D118:D119"/>
    <mergeCell ref="A155:B162"/>
    <mergeCell ref="A129:A130"/>
    <mergeCell ref="B129:B130"/>
    <mergeCell ref="A131:B137"/>
    <mergeCell ref="A142:A143"/>
    <mergeCell ref="B142:B143"/>
    <mergeCell ref="J142:N142"/>
    <mergeCell ref="A144:B151"/>
    <mergeCell ref="A153:A154"/>
    <mergeCell ref="B153:B154"/>
    <mergeCell ref="C153:C154"/>
    <mergeCell ref="C142:C143"/>
    <mergeCell ref="D187:G187"/>
    <mergeCell ref="H187:L187"/>
    <mergeCell ref="A189:B196"/>
    <mergeCell ref="A165:B172"/>
    <mergeCell ref="A176:A177"/>
    <mergeCell ref="B176:B177"/>
    <mergeCell ref="C176:C177"/>
    <mergeCell ref="I176:O176"/>
    <mergeCell ref="A178:B185"/>
    <mergeCell ref="A202:B209"/>
    <mergeCell ref="B213:B219"/>
    <mergeCell ref="A187:A188"/>
    <mergeCell ref="B187:B188"/>
    <mergeCell ref="C187:C18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25"/>
  <sheetViews>
    <sheetView topLeftCell="C1" zoomScale="70" zoomScaleNormal="70" workbookViewId="0">
      <selection activeCell="H18" sqref="H18:O18"/>
    </sheetView>
  </sheetViews>
  <sheetFormatPr defaultColWidth="26.28515625" defaultRowHeight="15"/>
  <cols>
    <col min="1" max="1" width="59.5703125" style="921" customWidth="1"/>
    <col min="2" max="2" width="51.42578125" customWidth="1"/>
  </cols>
  <sheetData>
    <row r="1" spans="1:17" ht="15.75">
      <c r="A1" s="607" t="s">
        <v>0</v>
      </c>
      <c r="B1" s="2162" t="s">
        <v>273</v>
      </c>
      <c r="C1" s="2163"/>
      <c r="D1" s="2163"/>
      <c r="E1" s="2163"/>
      <c r="F1" s="2163"/>
      <c r="G1" s="608"/>
      <c r="H1" s="608"/>
      <c r="I1" s="608"/>
      <c r="J1" s="608"/>
      <c r="K1" s="608"/>
      <c r="L1" s="608"/>
      <c r="M1" s="608"/>
      <c r="N1" s="608"/>
      <c r="O1" s="608"/>
      <c r="P1" s="608"/>
      <c r="Q1" s="608"/>
    </row>
    <row r="2" spans="1:17" ht="16.5" thickBot="1">
      <c r="A2" s="607"/>
      <c r="B2" s="608"/>
      <c r="C2" s="608"/>
      <c r="D2" s="608"/>
      <c r="E2" s="608"/>
      <c r="F2" s="608"/>
      <c r="G2" s="608"/>
      <c r="H2" s="608"/>
      <c r="I2" s="608"/>
      <c r="J2" s="608"/>
      <c r="K2" s="608"/>
      <c r="L2" s="608"/>
      <c r="M2" s="608"/>
      <c r="N2" s="608"/>
      <c r="O2" s="608"/>
      <c r="P2" s="608"/>
      <c r="Q2" s="608"/>
    </row>
    <row r="3" spans="1:17" ht="15.75">
      <c r="A3" s="609" t="s">
        <v>2</v>
      </c>
      <c r="B3" s="610"/>
      <c r="C3" s="610"/>
      <c r="D3" s="610"/>
      <c r="E3" s="610"/>
      <c r="F3" s="2164"/>
      <c r="G3" s="2164"/>
      <c r="H3" s="2164"/>
      <c r="I3" s="2164"/>
      <c r="J3" s="2164"/>
      <c r="K3" s="2164"/>
      <c r="L3" s="2164"/>
      <c r="M3" s="2164"/>
      <c r="N3" s="2164"/>
      <c r="O3" s="2165"/>
      <c r="P3" s="611"/>
      <c r="Q3" s="611"/>
    </row>
    <row r="4" spans="1:17" ht="15.75">
      <c r="A4" s="2166" t="s">
        <v>274</v>
      </c>
      <c r="B4" s="2167"/>
      <c r="C4" s="2167"/>
      <c r="D4" s="2167"/>
      <c r="E4" s="2167"/>
      <c r="F4" s="2167"/>
      <c r="G4" s="2167"/>
      <c r="H4" s="2167"/>
      <c r="I4" s="2167"/>
      <c r="J4" s="2167"/>
      <c r="K4" s="2167"/>
      <c r="L4" s="2167"/>
      <c r="M4" s="2167"/>
      <c r="N4" s="2167"/>
      <c r="O4" s="2168"/>
      <c r="P4" s="611"/>
      <c r="Q4" s="611"/>
    </row>
    <row r="5" spans="1:17" ht="15.75">
      <c r="A5" s="2166"/>
      <c r="B5" s="2167"/>
      <c r="C5" s="2167"/>
      <c r="D5" s="2167"/>
      <c r="E5" s="2167"/>
      <c r="F5" s="2167"/>
      <c r="G5" s="2167"/>
      <c r="H5" s="2167"/>
      <c r="I5" s="2167"/>
      <c r="J5" s="2167"/>
      <c r="K5" s="2167"/>
      <c r="L5" s="2167"/>
      <c r="M5" s="2167"/>
      <c r="N5" s="2167"/>
      <c r="O5" s="2168"/>
      <c r="P5" s="611"/>
      <c r="Q5" s="611"/>
    </row>
    <row r="6" spans="1:17" ht="15.75">
      <c r="A6" s="2166"/>
      <c r="B6" s="2167"/>
      <c r="C6" s="2167"/>
      <c r="D6" s="2167"/>
      <c r="E6" s="2167"/>
      <c r="F6" s="2167"/>
      <c r="G6" s="2167"/>
      <c r="H6" s="2167"/>
      <c r="I6" s="2167"/>
      <c r="J6" s="2167"/>
      <c r="K6" s="2167"/>
      <c r="L6" s="2167"/>
      <c r="M6" s="2167"/>
      <c r="N6" s="2167"/>
      <c r="O6" s="2168"/>
      <c r="P6" s="611"/>
      <c r="Q6" s="611"/>
    </row>
    <row r="7" spans="1:17" ht="15.75">
      <c r="A7" s="2166"/>
      <c r="B7" s="2167"/>
      <c r="C7" s="2167"/>
      <c r="D7" s="2167"/>
      <c r="E7" s="2167"/>
      <c r="F7" s="2167"/>
      <c r="G7" s="2167"/>
      <c r="H7" s="2167"/>
      <c r="I7" s="2167"/>
      <c r="J7" s="2167"/>
      <c r="K7" s="2167"/>
      <c r="L7" s="2167"/>
      <c r="M7" s="2167"/>
      <c r="N7" s="2167"/>
      <c r="O7" s="2168"/>
      <c r="P7" s="611"/>
      <c r="Q7" s="611"/>
    </row>
    <row r="8" spans="1:17" ht="15.75">
      <c r="A8" s="2166"/>
      <c r="B8" s="2167"/>
      <c r="C8" s="2167"/>
      <c r="D8" s="2167"/>
      <c r="E8" s="2167"/>
      <c r="F8" s="2167"/>
      <c r="G8" s="2167"/>
      <c r="H8" s="2167"/>
      <c r="I8" s="2167"/>
      <c r="J8" s="2167"/>
      <c r="K8" s="2167"/>
      <c r="L8" s="2167"/>
      <c r="M8" s="2167"/>
      <c r="N8" s="2167"/>
      <c r="O8" s="2168"/>
      <c r="P8" s="611"/>
      <c r="Q8" s="611"/>
    </row>
    <row r="9" spans="1:17" ht="15.75">
      <c r="A9" s="2166"/>
      <c r="B9" s="2167"/>
      <c r="C9" s="2167"/>
      <c r="D9" s="2167"/>
      <c r="E9" s="2167"/>
      <c r="F9" s="2167"/>
      <c r="G9" s="2167"/>
      <c r="H9" s="2167"/>
      <c r="I9" s="2167"/>
      <c r="J9" s="2167"/>
      <c r="K9" s="2167"/>
      <c r="L9" s="2167"/>
      <c r="M9" s="2167"/>
      <c r="N9" s="2167"/>
      <c r="O9" s="2168"/>
      <c r="P9" s="611"/>
      <c r="Q9" s="611"/>
    </row>
    <row r="10" spans="1:17" ht="16.5" thickBot="1">
      <c r="A10" s="2169"/>
      <c r="B10" s="2170"/>
      <c r="C10" s="2170"/>
      <c r="D10" s="2170"/>
      <c r="E10" s="2170"/>
      <c r="F10" s="2170"/>
      <c r="G10" s="2170"/>
      <c r="H10" s="2170"/>
      <c r="I10" s="2170"/>
      <c r="J10" s="2170"/>
      <c r="K10" s="2170"/>
      <c r="L10" s="2170"/>
      <c r="M10" s="2170"/>
      <c r="N10" s="2170"/>
      <c r="O10" s="2171"/>
      <c r="P10" s="611"/>
      <c r="Q10" s="611"/>
    </row>
    <row r="11" spans="1:17" ht="15.75">
      <c r="A11" s="607"/>
      <c r="B11" s="608"/>
      <c r="C11" s="608"/>
      <c r="D11" s="608"/>
      <c r="E11" s="608"/>
      <c r="F11" s="608"/>
      <c r="G11" s="608"/>
      <c r="H11" s="608"/>
      <c r="I11" s="608"/>
      <c r="J11" s="608"/>
      <c r="K11" s="608"/>
      <c r="L11" s="608"/>
      <c r="M11" s="608"/>
      <c r="N11" s="608"/>
      <c r="O11" s="608"/>
      <c r="P11" s="608"/>
      <c r="Q11" s="608"/>
    </row>
    <row r="12" spans="1:17" ht="15.75">
      <c r="A12" s="612"/>
      <c r="B12" s="613"/>
      <c r="C12" s="613"/>
      <c r="D12" s="613"/>
      <c r="E12" s="613"/>
      <c r="F12" s="613"/>
      <c r="G12" s="613"/>
      <c r="H12" s="613"/>
      <c r="I12" s="613"/>
      <c r="J12" s="613"/>
      <c r="K12" s="613"/>
      <c r="L12" s="613"/>
      <c r="M12" s="613"/>
      <c r="N12" s="613"/>
      <c r="O12" s="613"/>
      <c r="P12" s="613"/>
      <c r="Q12" s="613"/>
    </row>
    <row r="13" spans="1:17" ht="15.75">
      <c r="A13" s="614" t="s">
        <v>4</v>
      </c>
      <c r="B13" s="615"/>
      <c r="C13" s="616"/>
      <c r="D13" s="616"/>
      <c r="E13" s="616"/>
      <c r="F13" s="616"/>
      <c r="G13" s="616"/>
      <c r="H13" s="616"/>
      <c r="I13" s="616"/>
      <c r="J13" s="616"/>
      <c r="K13" s="616"/>
      <c r="L13" s="616"/>
      <c r="M13" s="616"/>
      <c r="N13" s="616"/>
      <c r="O13" s="616"/>
      <c r="P13" s="613"/>
      <c r="Q13" s="613"/>
    </row>
    <row r="14" spans="1:17" ht="16.5" thickBot="1">
      <c r="A14" s="612"/>
      <c r="B14" s="613"/>
      <c r="C14" s="613"/>
      <c r="D14" s="613"/>
      <c r="E14" s="613"/>
      <c r="F14" s="613"/>
      <c r="G14" s="613"/>
      <c r="H14" s="613"/>
      <c r="I14" s="613"/>
      <c r="J14" s="613"/>
      <c r="K14" s="613"/>
      <c r="L14" s="613"/>
      <c r="M14" s="613"/>
      <c r="N14" s="613"/>
      <c r="O14" s="613"/>
      <c r="P14" s="617"/>
      <c r="Q14" s="617"/>
    </row>
    <row r="15" spans="1:17" ht="15.75">
      <c r="A15" s="618"/>
      <c r="B15" s="619"/>
      <c r="C15" s="620"/>
      <c r="D15" s="2172" t="s">
        <v>5</v>
      </c>
      <c r="E15" s="2173"/>
      <c r="F15" s="2173"/>
      <c r="G15" s="2173"/>
      <c r="H15" s="621"/>
      <c r="I15" s="622" t="s">
        <v>6</v>
      </c>
      <c r="J15" s="623"/>
      <c r="K15" s="623"/>
      <c r="L15" s="623"/>
      <c r="M15" s="623"/>
      <c r="N15" s="623"/>
      <c r="O15" s="624"/>
      <c r="P15" s="625"/>
      <c r="Q15" s="625"/>
    </row>
    <row r="16" spans="1:17" ht="120.75">
      <c r="A16" s="626" t="s">
        <v>7</v>
      </c>
      <c r="B16" s="627" t="s">
        <v>275</v>
      </c>
      <c r="C16" s="628" t="s">
        <v>9</v>
      </c>
      <c r="D16" s="629" t="s">
        <v>10</v>
      </c>
      <c r="E16" s="630" t="s">
        <v>11</v>
      </c>
      <c r="F16" s="630" t="s">
        <v>12</v>
      </c>
      <c r="G16" s="631" t="s">
        <v>13</v>
      </c>
      <c r="H16" s="632" t="s">
        <v>14</v>
      </c>
      <c r="I16" s="633" t="s">
        <v>15</v>
      </c>
      <c r="J16" s="633" t="s">
        <v>16</v>
      </c>
      <c r="K16" s="633" t="s">
        <v>17</v>
      </c>
      <c r="L16" s="633" t="s">
        <v>18</v>
      </c>
      <c r="M16" s="634" t="s">
        <v>19</v>
      </c>
      <c r="N16" s="633" t="s">
        <v>20</v>
      </c>
      <c r="O16" s="635" t="s">
        <v>21</v>
      </c>
      <c r="P16" s="636"/>
      <c r="Q16" s="636"/>
    </row>
    <row r="17" spans="1:17" ht="15.75">
      <c r="A17" s="2100" t="s">
        <v>276</v>
      </c>
      <c r="B17" s="2097"/>
      <c r="C17" s="637">
        <v>2014</v>
      </c>
      <c r="D17" s="638"/>
      <c r="E17" s="639"/>
      <c r="F17" s="639"/>
      <c r="G17" s="640">
        <f t="shared" ref="G17:G23" si="0">SUM(D17:F17)</f>
        <v>0</v>
      </c>
      <c r="H17" s="641"/>
      <c r="I17" s="639"/>
      <c r="J17" s="639"/>
      <c r="K17" s="639"/>
      <c r="L17" s="639"/>
      <c r="M17" s="639"/>
      <c r="N17" s="639"/>
      <c r="O17" s="642"/>
      <c r="P17" s="643"/>
      <c r="Q17" s="643"/>
    </row>
    <row r="18" spans="1:17" ht="15.75">
      <c r="A18" s="2100"/>
      <c r="B18" s="2097"/>
      <c r="C18" s="644">
        <v>2015</v>
      </c>
      <c r="D18" s="645">
        <v>31</v>
      </c>
      <c r="E18" s="646">
        <v>0</v>
      </c>
      <c r="F18" s="646">
        <v>0</v>
      </c>
      <c r="G18" s="640">
        <f>SUM(D18:F18)</f>
        <v>31</v>
      </c>
      <c r="H18" s="647">
        <v>0</v>
      </c>
      <c r="I18" s="646">
        <v>0</v>
      </c>
      <c r="J18" s="646">
        <v>0</v>
      </c>
      <c r="K18" s="646">
        <v>27</v>
      </c>
      <c r="L18" s="646">
        <v>1</v>
      </c>
      <c r="M18" s="646">
        <v>0</v>
      </c>
      <c r="N18" s="646">
        <v>0</v>
      </c>
      <c r="O18" s="648">
        <v>3</v>
      </c>
      <c r="P18" s="643"/>
      <c r="Q18" s="643"/>
    </row>
    <row r="19" spans="1:17" ht="15.75">
      <c r="A19" s="2100"/>
      <c r="B19" s="2097"/>
      <c r="C19" s="644">
        <v>2016</v>
      </c>
      <c r="D19" s="645">
        <v>31</v>
      </c>
      <c r="E19" s="646">
        <v>0</v>
      </c>
      <c r="F19" s="646">
        <v>2</v>
      </c>
      <c r="G19" s="640">
        <f t="shared" si="0"/>
        <v>33</v>
      </c>
      <c r="H19" s="647">
        <v>0</v>
      </c>
      <c r="I19" s="646">
        <v>30</v>
      </c>
      <c r="J19" s="646">
        <v>0</v>
      </c>
      <c r="K19" s="646">
        <v>0</v>
      </c>
      <c r="L19" s="646">
        <v>1</v>
      </c>
      <c r="M19" s="646">
        <v>1</v>
      </c>
      <c r="N19" s="646">
        <v>0</v>
      </c>
      <c r="O19" s="648">
        <v>1</v>
      </c>
      <c r="P19" s="643"/>
      <c r="Q19" s="643"/>
    </row>
    <row r="20" spans="1:17" ht="15.75">
      <c r="A20" s="2100"/>
      <c r="B20" s="2097"/>
      <c r="C20" s="644">
        <v>2017</v>
      </c>
      <c r="D20" s="645">
        <v>37</v>
      </c>
      <c r="E20" s="646">
        <v>0</v>
      </c>
      <c r="F20" s="646">
        <v>1</v>
      </c>
      <c r="G20" s="640">
        <f t="shared" si="0"/>
        <v>38</v>
      </c>
      <c r="H20" s="647">
        <v>2</v>
      </c>
      <c r="I20" s="646">
        <v>3</v>
      </c>
      <c r="J20" s="646">
        <v>0</v>
      </c>
      <c r="K20" s="646">
        <v>29</v>
      </c>
      <c r="L20" s="646">
        <v>0</v>
      </c>
      <c r="M20" s="646">
        <v>4</v>
      </c>
      <c r="N20" s="646">
        <v>0</v>
      </c>
      <c r="O20" s="648">
        <v>0</v>
      </c>
      <c r="P20" s="643"/>
      <c r="Q20" s="643"/>
    </row>
    <row r="21" spans="1:17" ht="15.75">
      <c r="A21" s="2100"/>
      <c r="B21" s="2097"/>
      <c r="C21" s="644">
        <v>2018</v>
      </c>
      <c r="D21" s="645"/>
      <c r="E21" s="646"/>
      <c r="F21" s="646"/>
      <c r="G21" s="640">
        <f t="shared" si="0"/>
        <v>0</v>
      </c>
      <c r="H21" s="647"/>
      <c r="I21" s="646"/>
      <c r="J21" s="646"/>
      <c r="K21" s="646"/>
      <c r="L21" s="646"/>
      <c r="M21" s="646"/>
      <c r="N21" s="646"/>
      <c r="O21" s="648"/>
      <c r="P21" s="643"/>
      <c r="Q21" s="643"/>
    </row>
    <row r="22" spans="1:17" ht="15.75">
      <c r="A22" s="2100"/>
      <c r="B22" s="2097"/>
      <c r="C22" s="649">
        <v>2019</v>
      </c>
      <c r="D22" s="645"/>
      <c r="E22" s="646"/>
      <c r="F22" s="646"/>
      <c r="G22" s="640">
        <f>SUM(D22:F22)</f>
        <v>0</v>
      </c>
      <c r="H22" s="647"/>
      <c r="I22" s="646"/>
      <c r="J22" s="646"/>
      <c r="K22" s="646"/>
      <c r="L22" s="646"/>
      <c r="M22" s="646"/>
      <c r="N22" s="646"/>
      <c r="O22" s="648"/>
      <c r="P22" s="643"/>
      <c r="Q22" s="643"/>
    </row>
    <row r="23" spans="1:17" ht="15.75">
      <c r="A23" s="2100"/>
      <c r="B23" s="2097"/>
      <c r="C23" s="644">
        <v>2020</v>
      </c>
      <c r="D23" s="645"/>
      <c r="E23" s="646"/>
      <c r="F23" s="646"/>
      <c r="G23" s="640">
        <f t="shared" si="0"/>
        <v>0</v>
      </c>
      <c r="H23" s="647"/>
      <c r="I23" s="646"/>
      <c r="J23" s="646"/>
      <c r="K23" s="646"/>
      <c r="L23" s="646"/>
      <c r="M23" s="646"/>
      <c r="N23" s="646"/>
      <c r="O23" s="648"/>
      <c r="P23" s="643"/>
      <c r="Q23" s="643"/>
    </row>
    <row r="24" spans="1:17" ht="16.5" thickBot="1">
      <c r="A24" s="2101"/>
      <c r="B24" s="2099"/>
      <c r="C24" s="650" t="s">
        <v>13</v>
      </c>
      <c r="D24" s="651">
        <f>SUM(D17:D23)</f>
        <v>99</v>
      </c>
      <c r="E24" s="652">
        <f>SUM(E17:E23)</f>
        <v>0</v>
      </c>
      <c r="F24" s="652">
        <f>SUM(F17:F23)</f>
        <v>3</v>
      </c>
      <c r="G24" s="653">
        <f>SUM(D24:F24)</f>
        <v>102</v>
      </c>
      <c r="H24" s="654">
        <f>SUM(H17:H23)</f>
        <v>2</v>
      </c>
      <c r="I24" s="655">
        <f>SUM(I17:I23)</f>
        <v>33</v>
      </c>
      <c r="J24" s="655">
        <f t="shared" ref="J24:N24" si="1">SUM(J17:J23)</f>
        <v>0</v>
      </c>
      <c r="K24" s="655">
        <f t="shared" si="1"/>
        <v>56</v>
      </c>
      <c r="L24" s="655">
        <f t="shared" si="1"/>
        <v>2</v>
      </c>
      <c r="M24" s="655">
        <f t="shared" si="1"/>
        <v>5</v>
      </c>
      <c r="N24" s="655">
        <f t="shared" si="1"/>
        <v>0</v>
      </c>
      <c r="O24" s="656">
        <f>SUM(O17:O23)</f>
        <v>4</v>
      </c>
      <c r="P24" s="643"/>
      <c r="Q24" s="643"/>
    </row>
    <row r="25" spans="1:17" ht="16.5" thickBot="1">
      <c r="A25" s="612"/>
      <c r="B25" s="613"/>
      <c r="C25" s="657"/>
      <c r="D25" s="613"/>
      <c r="E25" s="613"/>
      <c r="F25" s="613"/>
      <c r="G25" s="613"/>
      <c r="H25" s="617"/>
      <c r="I25" s="617"/>
      <c r="J25" s="617"/>
      <c r="K25" s="617"/>
      <c r="L25" s="617"/>
      <c r="M25" s="617"/>
      <c r="N25" s="617"/>
      <c r="O25" s="617"/>
      <c r="P25" s="617"/>
      <c r="Q25" s="617"/>
    </row>
    <row r="26" spans="1:17" ht="15.75">
      <c r="A26" s="618"/>
      <c r="B26" s="619"/>
      <c r="C26" s="658"/>
      <c r="D26" s="2174" t="s">
        <v>5</v>
      </c>
      <c r="E26" s="2173"/>
      <c r="F26" s="2173"/>
      <c r="G26" s="2175"/>
      <c r="H26" s="625"/>
      <c r="I26" s="625"/>
      <c r="J26" s="659"/>
      <c r="K26" s="659"/>
      <c r="L26" s="659"/>
      <c r="M26" s="659"/>
      <c r="N26" s="659"/>
      <c r="O26" s="625"/>
      <c r="P26" s="625"/>
      <c r="Q26" s="660"/>
    </row>
    <row r="27" spans="1:17" ht="46.5">
      <c r="A27" s="661" t="s">
        <v>23</v>
      </c>
      <c r="B27" s="627" t="s">
        <v>275</v>
      </c>
      <c r="C27" s="662" t="s">
        <v>9</v>
      </c>
      <c r="D27" s="663" t="s">
        <v>10</v>
      </c>
      <c r="E27" s="630" t="s">
        <v>11</v>
      </c>
      <c r="F27" s="630" t="s">
        <v>12</v>
      </c>
      <c r="G27" s="664" t="s">
        <v>13</v>
      </c>
      <c r="H27" s="636"/>
      <c r="I27" s="636"/>
      <c r="J27" s="636"/>
      <c r="K27" s="636"/>
      <c r="L27" s="636"/>
      <c r="M27" s="636"/>
      <c r="N27" s="636"/>
      <c r="O27" s="636"/>
      <c r="P27" s="636"/>
      <c r="Q27" s="660"/>
    </row>
    <row r="28" spans="1:17" ht="15.75">
      <c r="A28" s="2158" t="s">
        <v>277</v>
      </c>
      <c r="B28" s="2176"/>
      <c r="C28" s="665">
        <v>2014</v>
      </c>
      <c r="D28" s="641"/>
      <c r="E28" s="639"/>
      <c r="F28" s="639"/>
      <c r="G28" s="666">
        <f>SUM(D28:F28)</f>
        <v>0</v>
      </c>
      <c r="H28" s="643"/>
      <c r="I28" s="643"/>
      <c r="J28" s="643"/>
      <c r="K28" s="643"/>
      <c r="L28" s="643"/>
      <c r="M28" s="643"/>
      <c r="N28" s="643"/>
      <c r="O28" s="643"/>
      <c r="P28" s="643"/>
      <c r="Q28" s="617"/>
    </row>
    <row r="29" spans="1:17" ht="15.75">
      <c r="A29" s="2158"/>
      <c r="B29" s="2176"/>
      <c r="C29" s="667">
        <v>2015</v>
      </c>
      <c r="D29" s="647">
        <v>60373</v>
      </c>
      <c r="E29" s="646"/>
      <c r="F29" s="646"/>
      <c r="G29" s="666">
        <f t="shared" ref="G29:G35" si="2">SUM(D29:F29)</f>
        <v>60373</v>
      </c>
      <c r="H29" s="643"/>
      <c r="I29" s="643"/>
      <c r="J29" s="643"/>
      <c r="K29" s="643"/>
      <c r="L29" s="643"/>
      <c r="M29" s="643"/>
      <c r="N29" s="643"/>
      <c r="O29" s="643"/>
      <c r="P29" s="643"/>
      <c r="Q29" s="617"/>
    </row>
    <row r="30" spans="1:17" ht="15.75">
      <c r="A30" s="2158"/>
      <c r="B30" s="2176"/>
      <c r="C30" s="667">
        <v>2016</v>
      </c>
      <c r="D30" s="647">
        <v>74435</v>
      </c>
      <c r="E30" s="646"/>
      <c r="F30" s="646">
        <v>13000</v>
      </c>
      <c r="G30" s="666">
        <f t="shared" si="2"/>
        <v>87435</v>
      </c>
      <c r="H30" s="643"/>
      <c r="I30" s="643"/>
      <c r="J30" s="643"/>
      <c r="K30" s="643"/>
      <c r="L30" s="643"/>
      <c r="M30" s="643"/>
      <c r="N30" s="643"/>
      <c r="O30" s="643"/>
      <c r="P30" s="643"/>
      <c r="Q30" s="617"/>
    </row>
    <row r="31" spans="1:17" ht="15.75">
      <c r="A31" s="2158"/>
      <c r="B31" s="2176"/>
      <c r="C31" s="667">
        <v>2017</v>
      </c>
      <c r="D31" s="647">
        <v>145000</v>
      </c>
      <c r="E31" s="646"/>
      <c r="F31" s="646">
        <v>10000</v>
      </c>
      <c r="G31" s="666">
        <f t="shared" si="2"/>
        <v>155000</v>
      </c>
      <c r="H31" s="643"/>
      <c r="I31" s="643"/>
      <c r="J31" s="643"/>
      <c r="K31" s="643"/>
      <c r="L31" s="643"/>
      <c r="M31" s="643"/>
      <c r="N31" s="643"/>
      <c r="O31" s="643"/>
      <c r="P31" s="643"/>
      <c r="Q31" s="617"/>
    </row>
    <row r="32" spans="1:17" ht="15.75">
      <c r="A32" s="2158"/>
      <c r="B32" s="2176"/>
      <c r="C32" s="667">
        <v>2018</v>
      </c>
      <c r="D32" s="647"/>
      <c r="E32" s="646"/>
      <c r="F32" s="646"/>
      <c r="G32" s="666">
        <f>SUM(D32:F32)</f>
        <v>0</v>
      </c>
      <c r="H32" s="643"/>
      <c r="I32" s="643"/>
      <c r="J32" s="643"/>
      <c r="K32" s="643"/>
      <c r="L32" s="643"/>
      <c r="M32" s="643"/>
      <c r="N32" s="643"/>
      <c r="O32" s="643"/>
      <c r="P32" s="643"/>
      <c r="Q32" s="617"/>
    </row>
    <row r="33" spans="1:17" ht="15.75">
      <c r="A33" s="2158"/>
      <c r="B33" s="2176"/>
      <c r="C33" s="668">
        <v>2019</v>
      </c>
      <c r="D33" s="647"/>
      <c r="E33" s="646"/>
      <c r="F33" s="646"/>
      <c r="G33" s="666">
        <f t="shared" si="2"/>
        <v>0</v>
      </c>
      <c r="H33" s="643"/>
      <c r="I33" s="643"/>
      <c r="J33" s="643"/>
      <c r="K33" s="643"/>
      <c r="L33" s="643"/>
      <c r="M33" s="643"/>
      <c r="N33" s="643"/>
      <c r="O33" s="643"/>
      <c r="P33" s="643"/>
      <c r="Q33" s="617"/>
    </row>
    <row r="34" spans="1:17" ht="15.75">
      <c r="A34" s="2158"/>
      <c r="B34" s="2176"/>
      <c r="C34" s="667">
        <v>2020</v>
      </c>
      <c r="D34" s="647"/>
      <c r="E34" s="646"/>
      <c r="F34" s="646"/>
      <c r="G34" s="666">
        <f t="shared" si="2"/>
        <v>0</v>
      </c>
      <c r="H34" s="643"/>
      <c r="I34" s="643"/>
      <c r="J34" s="643"/>
      <c r="K34" s="643"/>
      <c r="L34" s="643"/>
      <c r="M34" s="643"/>
      <c r="N34" s="643"/>
      <c r="O34" s="643"/>
      <c r="P34" s="643"/>
      <c r="Q34" s="617"/>
    </row>
    <row r="35" spans="1:17" ht="16.5" thickBot="1">
      <c r="A35" s="2177"/>
      <c r="B35" s="2178"/>
      <c r="C35" s="669" t="s">
        <v>13</v>
      </c>
      <c r="D35" s="654">
        <f>SUM(D28:D34)</f>
        <v>279808</v>
      </c>
      <c r="E35" s="652">
        <f>SUM(E28:E34)</f>
        <v>0</v>
      </c>
      <c r="F35" s="652">
        <f>SUM(F28:F34)</f>
        <v>23000</v>
      </c>
      <c r="G35" s="656">
        <f t="shared" si="2"/>
        <v>302808</v>
      </c>
      <c r="H35" s="643"/>
      <c r="I35" s="643"/>
      <c r="J35" s="643"/>
      <c r="K35" s="643"/>
      <c r="L35" s="643"/>
      <c r="M35" s="643"/>
      <c r="N35" s="643"/>
      <c r="O35" s="643"/>
      <c r="P35" s="643"/>
      <c r="Q35" s="617"/>
    </row>
    <row r="36" spans="1:17" ht="15.75">
      <c r="A36" s="670"/>
      <c r="B36" s="671"/>
      <c r="C36" s="657"/>
      <c r="D36" s="613"/>
      <c r="E36" s="613"/>
      <c r="F36" s="613"/>
      <c r="G36" s="613"/>
      <c r="H36" s="617"/>
      <c r="I36" s="617"/>
      <c r="J36" s="617"/>
      <c r="K36" s="617"/>
      <c r="L36" s="617"/>
      <c r="M36" s="617"/>
      <c r="N36" s="617"/>
      <c r="O36" s="617"/>
      <c r="P36" s="617"/>
      <c r="Q36" s="617"/>
    </row>
    <row r="37" spans="1:17" ht="15.75">
      <c r="A37" s="672" t="s">
        <v>25</v>
      </c>
      <c r="B37" s="673"/>
      <c r="C37" s="674"/>
      <c r="D37" s="674"/>
      <c r="E37" s="674"/>
      <c r="F37" s="643"/>
      <c r="G37" s="643"/>
      <c r="H37" s="643"/>
      <c r="I37" s="675"/>
      <c r="J37" s="675"/>
      <c r="K37" s="675"/>
      <c r="L37" s="613"/>
      <c r="M37" s="613"/>
      <c r="N37" s="613"/>
      <c r="O37" s="613"/>
      <c r="P37" s="613"/>
      <c r="Q37" s="613"/>
    </row>
    <row r="38" spans="1:17" ht="16.5" thickBot="1">
      <c r="A38" s="612"/>
      <c r="B38" s="613"/>
      <c r="C38" s="613"/>
      <c r="D38" s="613"/>
      <c r="E38" s="613"/>
      <c r="F38" s="613"/>
      <c r="G38" s="643"/>
      <c r="H38" s="643"/>
      <c r="I38" s="613"/>
      <c r="J38" s="613"/>
      <c r="K38" s="613"/>
      <c r="L38" s="613"/>
      <c r="M38" s="613"/>
      <c r="N38" s="613"/>
      <c r="O38" s="613"/>
      <c r="P38" s="613"/>
      <c r="Q38" s="613"/>
    </row>
    <row r="39" spans="1:17" ht="46.5">
      <c r="A39" s="676" t="s">
        <v>26</v>
      </c>
      <c r="B39" s="677" t="s">
        <v>275</v>
      </c>
      <c r="C39" s="678" t="s">
        <v>9</v>
      </c>
      <c r="D39" s="679" t="s">
        <v>28</v>
      </c>
      <c r="E39" s="680" t="s">
        <v>29</v>
      </c>
      <c r="F39" s="681"/>
      <c r="G39" s="636"/>
      <c r="H39" s="636"/>
      <c r="I39" s="613"/>
      <c r="J39" s="613"/>
      <c r="K39" s="613"/>
      <c r="L39" s="613"/>
      <c r="M39" s="613"/>
      <c r="N39" s="613"/>
      <c r="O39" s="613"/>
      <c r="P39" s="613"/>
      <c r="Q39" s="613"/>
    </row>
    <row r="40" spans="1:17" ht="15.75">
      <c r="A40" s="2100"/>
      <c r="B40" s="2097"/>
      <c r="C40" s="682">
        <v>2014</v>
      </c>
      <c r="D40" s="638"/>
      <c r="E40" s="637"/>
      <c r="F40" s="617"/>
      <c r="G40" s="643"/>
      <c r="H40" s="643"/>
      <c r="I40" s="613"/>
      <c r="J40" s="613"/>
      <c r="K40" s="613"/>
      <c r="L40" s="613"/>
      <c r="M40" s="613"/>
      <c r="N40" s="613"/>
      <c r="O40" s="613"/>
      <c r="P40" s="613"/>
      <c r="Q40" s="613"/>
    </row>
    <row r="41" spans="1:17" ht="15.75">
      <c r="A41" s="2100"/>
      <c r="B41" s="2097"/>
      <c r="C41" s="683">
        <v>2015</v>
      </c>
      <c r="D41" s="645">
        <v>3160</v>
      </c>
      <c r="E41" s="684">
        <v>2406</v>
      </c>
      <c r="F41" s="617"/>
      <c r="G41" s="643"/>
      <c r="H41" s="643"/>
      <c r="I41" s="613"/>
      <c r="J41" s="613"/>
      <c r="K41" s="613"/>
      <c r="L41" s="613"/>
      <c r="M41" s="613"/>
      <c r="N41" s="613"/>
      <c r="O41" s="613"/>
      <c r="P41" s="613"/>
      <c r="Q41" s="613"/>
    </row>
    <row r="42" spans="1:17" ht="16.5" thickBot="1">
      <c r="A42" s="2100"/>
      <c r="B42" s="2097"/>
      <c r="C42" s="683">
        <v>2016</v>
      </c>
      <c r="D42" s="685">
        <v>88084</v>
      </c>
      <c r="E42" s="686">
        <v>65235</v>
      </c>
      <c r="F42" s="617"/>
      <c r="G42" s="643"/>
      <c r="H42" s="643"/>
      <c r="I42" s="613"/>
      <c r="J42" s="613"/>
      <c r="K42" s="613"/>
      <c r="L42" s="613"/>
      <c r="M42" s="613"/>
      <c r="N42" s="613"/>
      <c r="O42" s="613"/>
      <c r="P42" s="613"/>
      <c r="Q42" s="613"/>
    </row>
    <row r="43" spans="1:17" ht="15.75">
      <c r="A43" s="2100"/>
      <c r="B43" s="2097"/>
      <c r="C43" s="683">
        <v>2017</v>
      </c>
      <c r="D43" s="687">
        <v>186495</v>
      </c>
      <c r="E43" s="688">
        <v>139988</v>
      </c>
      <c r="F43" s="617"/>
      <c r="G43" s="643"/>
      <c r="H43" s="643"/>
      <c r="I43" s="613"/>
      <c r="J43" s="613"/>
      <c r="K43" s="613"/>
      <c r="L43" s="613"/>
      <c r="M43" s="613"/>
      <c r="N43" s="613"/>
      <c r="O43" s="613"/>
      <c r="P43" s="613"/>
      <c r="Q43" s="613"/>
    </row>
    <row r="44" spans="1:17" ht="15.75">
      <c r="A44" s="2100"/>
      <c r="B44" s="2097"/>
      <c r="C44" s="683">
        <v>2018</v>
      </c>
      <c r="D44" s="645"/>
      <c r="E44" s="644"/>
      <c r="F44" s="617"/>
      <c r="G44" s="643"/>
      <c r="H44" s="643"/>
      <c r="I44" s="613"/>
      <c r="J44" s="613"/>
      <c r="K44" s="613"/>
      <c r="L44" s="613"/>
      <c r="M44" s="613"/>
      <c r="N44" s="613"/>
      <c r="O44" s="613"/>
      <c r="P44" s="613"/>
      <c r="Q44" s="613"/>
    </row>
    <row r="45" spans="1:17" ht="15.75">
      <c r="A45" s="2100"/>
      <c r="B45" s="2097"/>
      <c r="C45" s="683">
        <v>2019</v>
      </c>
      <c r="D45" s="645"/>
      <c r="E45" s="644"/>
      <c r="F45" s="617"/>
      <c r="G45" s="643"/>
      <c r="H45" s="643"/>
      <c r="I45" s="613"/>
      <c r="J45" s="613"/>
      <c r="K45" s="613"/>
      <c r="L45" s="613"/>
      <c r="M45" s="613"/>
      <c r="N45" s="613"/>
      <c r="O45" s="613"/>
      <c r="P45" s="613"/>
      <c r="Q45" s="613"/>
    </row>
    <row r="46" spans="1:17" ht="15.75">
      <c r="A46" s="2100"/>
      <c r="B46" s="2097"/>
      <c r="C46" s="683">
        <v>2020</v>
      </c>
      <c r="D46" s="645"/>
      <c r="E46" s="644"/>
      <c r="F46" s="617"/>
      <c r="G46" s="643"/>
      <c r="H46" s="643"/>
      <c r="I46" s="613"/>
      <c r="J46" s="613"/>
      <c r="K46" s="613"/>
      <c r="L46" s="613"/>
      <c r="M46" s="613"/>
      <c r="N46" s="613"/>
      <c r="O46" s="613"/>
      <c r="P46" s="613"/>
      <c r="Q46" s="613"/>
    </row>
    <row r="47" spans="1:17" ht="16.5" thickBot="1">
      <c r="A47" s="2101"/>
      <c r="B47" s="2099"/>
      <c r="C47" s="650" t="s">
        <v>13</v>
      </c>
      <c r="D47" s="651">
        <f>SUM(D40:D46)</f>
        <v>277739</v>
      </c>
      <c r="E47" s="689">
        <f>SUM(E40:E46)</f>
        <v>207629</v>
      </c>
      <c r="F47" s="690"/>
      <c r="G47" s="643"/>
      <c r="H47" s="643"/>
      <c r="I47" s="613"/>
      <c r="J47" s="613"/>
      <c r="K47" s="613"/>
      <c r="L47" s="613"/>
      <c r="M47" s="613"/>
      <c r="N47" s="613"/>
      <c r="O47" s="613"/>
      <c r="P47" s="613"/>
      <c r="Q47" s="613"/>
    </row>
    <row r="48" spans="1:17" ht="16.5" thickBot="1">
      <c r="A48" s="691"/>
      <c r="B48" s="692"/>
      <c r="C48" s="693"/>
      <c r="D48" s="643"/>
      <c r="E48" s="643"/>
      <c r="F48" s="643"/>
      <c r="G48" s="643"/>
      <c r="H48" s="643"/>
      <c r="I48" s="643"/>
      <c r="J48" s="643"/>
      <c r="K48" s="643"/>
      <c r="L48" s="643"/>
      <c r="M48" s="643"/>
      <c r="N48" s="643"/>
      <c r="O48" s="643"/>
      <c r="P48" s="643"/>
      <c r="Q48" s="643"/>
    </row>
    <row r="49" spans="1:17" ht="75.75">
      <c r="A49" s="694" t="s">
        <v>32</v>
      </c>
      <c r="B49" s="677" t="s">
        <v>275</v>
      </c>
      <c r="C49" s="695" t="s">
        <v>9</v>
      </c>
      <c r="D49" s="679" t="s">
        <v>34</v>
      </c>
      <c r="E49" s="696" t="s">
        <v>35</v>
      </c>
      <c r="F49" s="696" t="s">
        <v>36</v>
      </c>
      <c r="G49" s="696" t="s">
        <v>37</v>
      </c>
      <c r="H49" s="696" t="s">
        <v>38</v>
      </c>
      <c r="I49" s="696" t="s">
        <v>39</v>
      </c>
      <c r="J49" s="696" t="s">
        <v>40</v>
      </c>
      <c r="K49" s="697" t="s">
        <v>41</v>
      </c>
      <c r="L49" s="613"/>
      <c r="M49" s="613"/>
      <c r="N49" s="613"/>
      <c r="O49" s="613"/>
      <c r="P49" s="613"/>
      <c r="Q49" s="613"/>
    </row>
    <row r="50" spans="1:17" ht="15.75">
      <c r="A50" s="2179"/>
      <c r="B50" s="2130"/>
      <c r="C50" s="682" t="s">
        <v>43</v>
      </c>
      <c r="D50" s="638"/>
      <c r="E50" s="639"/>
      <c r="F50" s="639"/>
      <c r="G50" s="639"/>
      <c r="H50" s="639"/>
      <c r="I50" s="639"/>
      <c r="J50" s="639"/>
      <c r="K50" s="642"/>
      <c r="L50" s="613"/>
      <c r="M50" s="613"/>
      <c r="N50" s="613"/>
      <c r="O50" s="613"/>
      <c r="P50" s="613"/>
      <c r="Q50" s="613"/>
    </row>
    <row r="51" spans="1:17" ht="15.75">
      <c r="A51" s="2100"/>
      <c r="B51" s="2132"/>
      <c r="C51" s="683">
        <v>2014</v>
      </c>
      <c r="D51" s="645"/>
      <c r="E51" s="646"/>
      <c r="F51" s="646"/>
      <c r="G51" s="646"/>
      <c r="H51" s="646"/>
      <c r="I51" s="646"/>
      <c r="J51" s="646"/>
      <c r="K51" s="698"/>
      <c r="L51" s="613"/>
      <c r="M51" s="613"/>
      <c r="N51" s="613"/>
      <c r="O51" s="613"/>
      <c r="P51" s="613"/>
      <c r="Q51" s="613"/>
    </row>
    <row r="52" spans="1:17" ht="15.75">
      <c r="A52" s="2100"/>
      <c r="B52" s="2132"/>
      <c r="C52" s="683">
        <v>2015</v>
      </c>
      <c r="D52" s="645"/>
      <c r="E52" s="646"/>
      <c r="F52" s="646"/>
      <c r="G52" s="646"/>
      <c r="H52" s="646"/>
      <c r="I52" s="646"/>
      <c r="J52" s="646"/>
      <c r="K52" s="698"/>
      <c r="L52" s="613"/>
      <c r="M52" s="613"/>
      <c r="N52" s="613"/>
      <c r="O52" s="613"/>
      <c r="P52" s="613"/>
      <c r="Q52" s="613"/>
    </row>
    <row r="53" spans="1:17" ht="15.75">
      <c r="A53" s="2100"/>
      <c r="B53" s="2132"/>
      <c r="C53" s="683">
        <v>2016</v>
      </c>
      <c r="D53" s="645">
        <v>1</v>
      </c>
      <c r="E53" s="646"/>
      <c r="F53" s="646"/>
      <c r="G53" s="699">
        <v>124</v>
      </c>
      <c r="H53" s="646"/>
      <c r="I53" s="646"/>
      <c r="J53" s="646"/>
      <c r="K53" s="698"/>
      <c r="L53" s="613"/>
      <c r="M53" s="613"/>
      <c r="N53" s="613"/>
      <c r="O53" s="613"/>
      <c r="P53" s="613"/>
      <c r="Q53" s="613"/>
    </row>
    <row r="54" spans="1:17" ht="15.75">
      <c r="A54" s="2100"/>
      <c r="B54" s="2132"/>
      <c r="C54" s="683">
        <v>2017</v>
      </c>
      <c r="D54" s="645">
        <v>1</v>
      </c>
      <c r="E54" s="646"/>
      <c r="F54" s="646"/>
      <c r="G54" s="646">
        <v>202</v>
      </c>
      <c r="H54" s="646"/>
      <c r="I54" s="646"/>
      <c r="J54" s="646">
        <v>36</v>
      </c>
      <c r="K54" s="698"/>
      <c r="L54" s="613"/>
      <c r="M54" s="613"/>
      <c r="N54" s="613"/>
      <c r="O54" s="613"/>
      <c r="P54" s="613"/>
      <c r="Q54" s="613"/>
    </row>
    <row r="55" spans="1:17" ht="15.75">
      <c r="A55" s="2100"/>
      <c r="B55" s="2132"/>
      <c r="C55" s="683">
        <v>2018</v>
      </c>
      <c r="D55" s="645"/>
      <c r="E55" s="646"/>
      <c r="F55" s="646"/>
      <c r="G55" s="646"/>
      <c r="H55" s="646"/>
      <c r="I55" s="646"/>
      <c r="J55" s="646"/>
      <c r="K55" s="698"/>
      <c r="L55" s="613"/>
      <c r="M55" s="613"/>
      <c r="N55" s="613"/>
      <c r="O55" s="613"/>
      <c r="P55" s="613"/>
      <c r="Q55" s="613"/>
    </row>
    <row r="56" spans="1:17" ht="15.75">
      <c r="A56" s="2100"/>
      <c r="B56" s="2132"/>
      <c r="C56" s="683">
        <v>2019</v>
      </c>
      <c r="D56" s="645"/>
      <c r="E56" s="646"/>
      <c r="F56" s="646"/>
      <c r="G56" s="646"/>
      <c r="H56" s="646"/>
      <c r="I56" s="646"/>
      <c r="J56" s="646"/>
      <c r="K56" s="698"/>
      <c r="L56" s="613"/>
      <c r="M56" s="613"/>
      <c r="N56" s="613"/>
      <c r="O56" s="613"/>
      <c r="P56" s="613"/>
      <c r="Q56" s="613"/>
    </row>
    <row r="57" spans="1:17" ht="15.75">
      <c r="A57" s="2100"/>
      <c r="B57" s="2132"/>
      <c r="C57" s="683">
        <v>2020</v>
      </c>
      <c r="D57" s="645"/>
      <c r="E57" s="646"/>
      <c r="F57" s="646"/>
      <c r="G57" s="646"/>
      <c r="H57" s="646"/>
      <c r="I57" s="646"/>
      <c r="J57" s="646"/>
      <c r="K57" s="700"/>
      <c r="L57" s="613"/>
      <c r="M57" s="613"/>
      <c r="N57" s="613"/>
      <c r="O57" s="613"/>
      <c r="P57" s="613"/>
      <c r="Q57" s="613"/>
    </row>
    <row r="58" spans="1:17" ht="16.5" thickBot="1">
      <c r="A58" s="2101"/>
      <c r="B58" s="2134"/>
      <c r="C58" s="650" t="s">
        <v>13</v>
      </c>
      <c r="D58" s="651">
        <f>SUM(D51:D57)</f>
        <v>2</v>
      </c>
      <c r="E58" s="652">
        <f>SUM(E51:E57)</f>
        <v>0</v>
      </c>
      <c r="F58" s="652">
        <f>SUM(F51:F57)</f>
        <v>0</v>
      </c>
      <c r="G58" s="652">
        <f>SUM(G51:G57)</f>
        <v>326</v>
      </c>
      <c r="H58" s="652">
        <f>SUM(H51:H57)</f>
        <v>0</v>
      </c>
      <c r="I58" s="652">
        <f t="shared" ref="I58" si="3">SUM(I51:I57)</f>
        <v>0</v>
      </c>
      <c r="J58" s="652">
        <f>SUM(J51:J57)</f>
        <v>36</v>
      </c>
      <c r="K58" s="656">
        <f>SUM(K50:K56)</f>
        <v>0</v>
      </c>
      <c r="L58" s="613"/>
      <c r="M58" s="613"/>
      <c r="N58" s="613"/>
      <c r="O58" s="613"/>
      <c r="P58" s="613"/>
      <c r="Q58" s="613"/>
    </row>
    <row r="59" spans="1:17" ht="16.5" thickBot="1">
      <c r="A59" s="612"/>
      <c r="B59" s="613"/>
      <c r="C59" s="613"/>
      <c r="D59" s="613"/>
      <c r="E59" s="613"/>
      <c r="F59" s="613"/>
      <c r="G59" s="613"/>
      <c r="H59" s="613"/>
      <c r="I59" s="613"/>
      <c r="J59" s="613"/>
      <c r="K59" s="613"/>
      <c r="L59" s="613"/>
      <c r="M59" s="613"/>
      <c r="N59" s="613"/>
      <c r="O59" s="613"/>
      <c r="P59" s="613"/>
      <c r="Q59" s="613"/>
    </row>
    <row r="60" spans="1:17" ht="15.75">
      <c r="A60" s="2180" t="s">
        <v>44</v>
      </c>
      <c r="B60" s="701"/>
      <c r="C60" s="2182" t="s">
        <v>9</v>
      </c>
      <c r="D60" s="2160" t="s">
        <v>45</v>
      </c>
      <c r="E60" s="702" t="s">
        <v>6</v>
      </c>
      <c r="F60" s="703"/>
      <c r="G60" s="703"/>
      <c r="H60" s="703"/>
      <c r="I60" s="703"/>
      <c r="J60" s="703"/>
      <c r="K60" s="703"/>
      <c r="L60" s="704"/>
      <c r="M60" s="613"/>
      <c r="N60" s="613"/>
      <c r="O60" s="613"/>
      <c r="P60" s="613"/>
      <c r="Q60" s="613"/>
    </row>
    <row r="61" spans="1:17" ht="120.75">
      <c r="A61" s="2181"/>
      <c r="B61" s="705" t="s">
        <v>275</v>
      </c>
      <c r="C61" s="2183"/>
      <c r="D61" s="2161"/>
      <c r="E61" s="706" t="s">
        <v>14</v>
      </c>
      <c r="F61" s="707" t="s">
        <v>15</v>
      </c>
      <c r="G61" s="707" t="s">
        <v>16</v>
      </c>
      <c r="H61" s="708" t="s">
        <v>17</v>
      </c>
      <c r="I61" s="708" t="s">
        <v>18</v>
      </c>
      <c r="J61" s="709" t="s">
        <v>19</v>
      </c>
      <c r="K61" s="707" t="s">
        <v>20</v>
      </c>
      <c r="L61" s="710" t="s">
        <v>21</v>
      </c>
      <c r="M61" s="711"/>
      <c r="N61" s="617"/>
      <c r="O61" s="617"/>
      <c r="P61" s="613"/>
      <c r="Q61" s="613"/>
    </row>
    <row r="62" spans="1:17" ht="15.75">
      <c r="A62" s="2111"/>
      <c r="B62" s="2112"/>
      <c r="C62" s="712">
        <v>2014</v>
      </c>
      <c r="D62" s="713"/>
      <c r="E62" s="714"/>
      <c r="F62" s="715"/>
      <c r="G62" s="715"/>
      <c r="H62" s="715"/>
      <c r="I62" s="715"/>
      <c r="J62" s="715"/>
      <c r="K62" s="715"/>
      <c r="L62" s="642"/>
      <c r="M62" s="617"/>
      <c r="N62" s="617"/>
      <c r="O62" s="617"/>
      <c r="P62" s="613"/>
      <c r="Q62" s="613"/>
    </row>
    <row r="63" spans="1:17" ht="15.75">
      <c r="A63" s="2111"/>
      <c r="B63" s="2112"/>
      <c r="C63" s="716">
        <v>2015</v>
      </c>
      <c r="D63" s="717"/>
      <c r="E63" s="718"/>
      <c r="F63" s="646"/>
      <c r="G63" s="646"/>
      <c r="H63" s="646"/>
      <c r="I63" s="646"/>
      <c r="J63" s="646"/>
      <c r="K63" s="646"/>
      <c r="L63" s="698"/>
      <c r="M63" s="617"/>
      <c r="N63" s="617"/>
      <c r="O63" s="617"/>
      <c r="P63" s="613"/>
      <c r="Q63" s="613"/>
    </row>
    <row r="64" spans="1:17" ht="15.75">
      <c r="A64" s="2111"/>
      <c r="B64" s="2112"/>
      <c r="C64" s="716">
        <v>2016</v>
      </c>
      <c r="D64" s="717">
        <v>13</v>
      </c>
      <c r="E64" s="718"/>
      <c r="F64" s="646">
        <v>13</v>
      </c>
      <c r="G64" s="646"/>
      <c r="H64" s="646"/>
      <c r="I64" s="646"/>
      <c r="J64" s="646"/>
      <c r="K64" s="646"/>
      <c r="L64" s="698"/>
      <c r="M64" s="617"/>
      <c r="N64" s="617"/>
      <c r="O64" s="617"/>
      <c r="P64" s="613"/>
      <c r="Q64" s="613"/>
    </row>
    <row r="65" spans="1:17" ht="15.75">
      <c r="A65" s="2111"/>
      <c r="B65" s="2112"/>
      <c r="C65" s="716">
        <v>2017</v>
      </c>
      <c r="D65" s="717">
        <v>3</v>
      </c>
      <c r="E65" s="718"/>
      <c r="F65" s="646">
        <v>3</v>
      </c>
      <c r="G65" s="646"/>
      <c r="H65" s="646"/>
      <c r="I65" s="646"/>
      <c r="J65" s="646"/>
      <c r="K65" s="646"/>
      <c r="L65" s="698"/>
      <c r="M65" s="617"/>
      <c r="N65" s="617"/>
      <c r="O65" s="617"/>
      <c r="P65" s="613"/>
      <c r="Q65" s="613"/>
    </row>
    <row r="66" spans="1:17" ht="15.75">
      <c r="A66" s="2111"/>
      <c r="B66" s="2112"/>
      <c r="C66" s="716">
        <v>2018</v>
      </c>
      <c r="D66" s="717"/>
      <c r="E66" s="718"/>
      <c r="F66" s="646"/>
      <c r="G66" s="646"/>
      <c r="H66" s="646"/>
      <c r="I66" s="646"/>
      <c r="J66" s="646"/>
      <c r="K66" s="646"/>
      <c r="L66" s="698"/>
      <c r="M66" s="617"/>
      <c r="N66" s="617"/>
      <c r="O66" s="617"/>
      <c r="P66" s="613"/>
      <c r="Q66" s="613"/>
    </row>
    <row r="67" spans="1:17" ht="15.75">
      <c r="A67" s="2111"/>
      <c r="B67" s="2112"/>
      <c r="C67" s="716">
        <v>2019</v>
      </c>
      <c r="D67" s="717"/>
      <c r="E67" s="718"/>
      <c r="F67" s="646"/>
      <c r="G67" s="646"/>
      <c r="H67" s="646"/>
      <c r="I67" s="646"/>
      <c r="J67" s="646"/>
      <c r="K67" s="646"/>
      <c r="L67" s="698"/>
      <c r="M67" s="617"/>
      <c r="N67" s="617"/>
      <c r="O67" s="617"/>
      <c r="P67" s="613"/>
      <c r="Q67" s="613"/>
    </row>
    <row r="68" spans="1:17" ht="15.75">
      <c r="A68" s="2111"/>
      <c r="B68" s="2112"/>
      <c r="C68" s="716">
        <v>2020</v>
      </c>
      <c r="D68" s="717"/>
      <c r="E68" s="718"/>
      <c r="F68" s="646"/>
      <c r="G68" s="646"/>
      <c r="H68" s="646"/>
      <c r="I68" s="646"/>
      <c r="J68" s="646"/>
      <c r="K68" s="646"/>
      <c r="L68" s="698"/>
      <c r="M68" s="690"/>
      <c r="N68" s="690"/>
      <c r="O68" s="690"/>
      <c r="P68" s="613"/>
      <c r="Q68" s="613"/>
    </row>
    <row r="69" spans="1:17" ht="16.5" thickBot="1">
      <c r="A69" s="2144"/>
      <c r="B69" s="2114"/>
      <c r="C69" s="719" t="s">
        <v>13</v>
      </c>
      <c r="D69" s="720">
        <f>SUM(D62:D68)</f>
        <v>16</v>
      </c>
      <c r="E69" s="721">
        <f>SUM(E62:E68)</f>
        <v>0</v>
      </c>
      <c r="F69" s="722">
        <f t="shared" ref="F69:I69" si="4">SUM(F62:F68)</f>
        <v>16</v>
      </c>
      <c r="G69" s="722">
        <f t="shared" si="4"/>
        <v>0</v>
      </c>
      <c r="H69" s="722">
        <f t="shared" si="4"/>
        <v>0</v>
      </c>
      <c r="I69" s="722">
        <f t="shared" si="4"/>
        <v>0</v>
      </c>
      <c r="J69" s="722"/>
      <c r="K69" s="722">
        <f>SUM(K62:K68)</f>
        <v>0</v>
      </c>
      <c r="L69" s="723">
        <f>SUM(L62:L68)</f>
        <v>0</v>
      </c>
      <c r="M69" s="690"/>
      <c r="N69" s="690"/>
      <c r="O69" s="690"/>
      <c r="P69" s="613"/>
      <c r="Q69" s="613"/>
    </row>
    <row r="70" spans="1:17" ht="16.5" thickBot="1">
      <c r="A70" s="724"/>
      <c r="B70" s="725"/>
      <c r="C70" s="726"/>
      <c r="D70" s="727"/>
      <c r="E70" s="727"/>
      <c r="F70" s="727"/>
      <c r="G70" s="727"/>
      <c r="H70" s="726"/>
      <c r="I70" s="728"/>
      <c r="J70" s="728"/>
      <c r="K70" s="728"/>
      <c r="L70" s="728"/>
      <c r="M70" s="728"/>
      <c r="N70" s="728"/>
      <c r="O70" s="728"/>
      <c r="P70" s="729"/>
      <c r="Q70" s="729"/>
    </row>
    <row r="71" spans="1:17" ht="120.75">
      <c r="A71" s="730" t="s">
        <v>47</v>
      </c>
      <c r="B71" s="677" t="s">
        <v>275</v>
      </c>
      <c r="C71" s="678" t="s">
        <v>9</v>
      </c>
      <c r="D71" s="731" t="s">
        <v>49</v>
      </c>
      <c r="E71" s="731" t="s">
        <v>50</v>
      </c>
      <c r="F71" s="732" t="s">
        <v>278</v>
      </c>
      <c r="G71" s="733" t="s">
        <v>52</v>
      </c>
      <c r="H71" s="734" t="s">
        <v>14</v>
      </c>
      <c r="I71" s="735" t="s">
        <v>15</v>
      </c>
      <c r="J71" s="736" t="s">
        <v>16</v>
      </c>
      <c r="K71" s="735" t="s">
        <v>17</v>
      </c>
      <c r="L71" s="735" t="s">
        <v>18</v>
      </c>
      <c r="M71" s="737" t="s">
        <v>19</v>
      </c>
      <c r="N71" s="736" t="s">
        <v>20</v>
      </c>
      <c r="O71" s="738" t="s">
        <v>21</v>
      </c>
      <c r="P71" s="613"/>
      <c r="Q71" s="613"/>
    </row>
    <row r="72" spans="1:17" ht="15.75">
      <c r="A72" s="2100"/>
      <c r="B72" s="2112"/>
      <c r="C72" s="682">
        <v>2014</v>
      </c>
      <c r="D72" s="739"/>
      <c r="E72" s="739"/>
      <c r="F72" s="739"/>
      <c r="G72" s="740">
        <f>SUM(D72:F72)</f>
        <v>0</v>
      </c>
      <c r="H72" s="638"/>
      <c r="I72" s="741"/>
      <c r="J72" s="715"/>
      <c r="K72" s="715"/>
      <c r="L72" s="715"/>
      <c r="M72" s="715"/>
      <c r="N72" s="715"/>
      <c r="O72" s="742"/>
      <c r="P72" s="613"/>
      <c r="Q72" s="613"/>
    </row>
    <row r="73" spans="1:17" ht="15.75">
      <c r="A73" s="2100"/>
      <c r="B73" s="2112"/>
      <c r="C73" s="683">
        <v>2015</v>
      </c>
      <c r="D73" s="743">
        <v>6</v>
      </c>
      <c r="E73" s="743"/>
      <c r="F73" s="743"/>
      <c r="G73" s="740">
        <f t="shared" ref="G73:G78" si="5">SUM(D73:F73)</f>
        <v>6</v>
      </c>
      <c r="H73" s="645"/>
      <c r="I73" s="645">
        <v>6</v>
      </c>
      <c r="J73" s="646"/>
      <c r="K73" s="646"/>
      <c r="L73" s="646"/>
      <c r="M73" s="646"/>
      <c r="N73" s="646"/>
      <c r="O73" s="698"/>
      <c r="P73" s="613"/>
      <c r="Q73" s="613"/>
    </row>
    <row r="74" spans="1:17" ht="15.75">
      <c r="A74" s="2100"/>
      <c r="B74" s="2112"/>
      <c r="C74" s="683">
        <v>2016</v>
      </c>
      <c r="D74" s="744">
        <v>26</v>
      </c>
      <c r="E74" s="743"/>
      <c r="F74" s="743"/>
      <c r="G74" s="740">
        <f t="shared" si="5"/>
        <v>26</v>
      </c>
      <c r="H74" s="645"/>
      <c r="I74" s="745">
        <v>26</v>
      </c>
      <c r="J74" s="646"/>
      <c r="K74" s="646"/>
      <c r="L74" s="646"/>
      <c r="M74" s="646"/>
      <c r="N74" s="646"/>
      <c r="O74" s="698"/>
      <c r="P74" s="613"/>
      <c r="Q74" s="613"/>
    </row>
    <row r="75" spans="1:17" ht="15.75">
      <c r="A75" s="2100"/>
      <c r="B75" s="2112"/>
      <c r="C75" s="683">
        <v>2017</v>
      </c>
      <c r="D75" s="743">
        <v>23</v>
      </c>
      <c r="E75" s="743"/>
      <c r="F75" s="743"/>
      <c r="G75" s="740">
        <f t="shared" si="5"/>
        <v>23</v>
      </c>
      <c r="H75" s="645"/>
      <c r="I75" s="645">
        <v>23</v>
      </c>
      <c r="J75" s="646"/>
      <c r="K75" s="646"/>
      <c r="L75" s="646"/>
      <c r="M75" s="646"/>
      <c r="N75" s="646"/>
      <c r="O75" s="698"/>
      <c r="P75" s="613"/>
      <c r="Q75" s="613"/>
    </row>
    <row r="76" spans="1:17" ht="15.75">
      <c r="A76" s="2100"/>
      <c r="B76" s="2112"/>
      <c r="C76" s="683">
        <v>2018</v>
      </c>
      <c r="D76" s="743"/>
      <c r="E76" s="743"/>
      <c r="F76" s="743"/>
      <c r="G76" s="740">
        <f t="shared" si="5"/>
        <v>0</v>
      </c>
      <c r="H76" s="645"/>
      <c r="I76" s="645"/>
      <c r="J76" s="646"/>
      <c r="K76" s="646"/>
      <c r="L76" s="646"/>
      <c r="M76" s="646"/>
      <c r="N76" s="646"/>
      <c r="O76" s="698"/>
      <c r="P76" s="613"/>
      <c r="Q76" s="613"/>
    </row>
    <row r="77" spans="1:17" ht="15.75">
      <c r="A77" s="2100"/>
      <c r="B77" s="2112"/>
      <c r="C77" s="683">
        <v>2019</v>
      </c>
      <c r="D77" s="743"/>
      <c r="E77" s="743"/>
      <c r="F77" s="743"/>
      <c r="G77" s="740">
        <f t="shared" si="5"/>
        <v>0</v>
      </c>
      <c r="H77" s="645"/>
      <c r="I77" s="645"/>
      <c r="J77" s="646"/>
      <c r="K77" s="646"/>
      <c r="L77" s="646"/>
      <c r="M77" s="646"/>
      <c r="N77" s="646"/>
      <c r="O77" s="698"/>
      <c r="P77" s="613"/>
      <c r="Q77" s="613"/>
    </row>
    <row r="78" spans="1:17" ht="15.75">
      <c r="A78" s="2100"/>
      <c r="B78" s="2112"/>
      <c r="C78" s="683">
        <v>2020</v>
      </c>
      <c r="D78" s="743"/>
      <c r="E78" s="743"/>
      <c r="F78" s="743"/>
      <c r="G78" s="740">
        <f t="shared" si="5"/>
        <v>0</v>
      </c>
      <c r="H78" s="645"/>
      <c r="I78" s="645"/>
      <c r="J78" s="646"/>
      <c r="K78" s="646"/>
      <c r="L78" s="646"/>
      <c r="M78" s="646"/>
      <c r="N78" s="646"/>
      <c r="O78" s="698"/>
      <c r="P78" s="613"/>
      <c r="Q78" s="613"/>
    </row>
    <row r="79" spans="1:17" ht="16.5" thickBot="1">
      <c r="A79" s="2144"/>
      <c r="B79" s="2114"/>
      <c r="C79" s="746" t="s">
        <v>13</v>
      </c>
      <c r="D79" s="720">
        <f>SUM(D72:D78)</f>
        <v>55</v>
      </c>
      <c r="E79" s="720">
        <f>SUM(E72:E78)</f>
        <v>0</v>
      </c>
      <c r="F79" s="720">
        <f>SUM(F72:F78)</f>
        <v>0</v>
      </c>
      <c r="G79" s="747">
        <f>SUM(G72:G78)</f>
        <v>55</v>
      </c>
      <c r="H79" s="748">
        <v>0</v>
      </c>
      <c r="I79" s="749">
        <f t="shared" ref="I79:O79" si="6">SUM(I72:I78)</f>
        <v>55</v>
      </c>
      <c r="J79" s="722">
        <f t="shared" si="6"/>
        <v>0</v>
      </c>
      <c r="K79" s="722">
        <f t="shared" si="6"/>
        <v>0</v>
      </c>
      <c r="L79" s="722">
        <f t="shared" si="6"/>
        <v>0</v>
      </c>
      <c r="M79" s="722">
        <f t="shared" si="6"/>
        <v>0</v>
      </c>
      <c r="N79" s="722">
        <f t="shared" si="6"/>
        <v>0</v>
      </c>
      <c r="O79" s="723">
        <f t="shared" si="6"/>
        <v>0</v>
      </c>
      <c r="P79" s="613"/>
      <c r="Q79" s="613"/>
    </row>
    <row r="80" spans="1:17" ht="15.75">
      <c r="A80" s="612"/>
      <c r="B80" s="613"/>
      <c r="C80" s="613"/>
      <c r="D80" s="613"/>
      <c r="E80" s="613"/>
      <c r="F80" s="613"/>
      <c r="G80" s="613"/>
      <c r="H80" s="613"/>
      <c r="I80" s="613"/>
      <c r="J80" s="613"/>
      <c r="K80" s="613"/>
      <c r="L80" s="613"/>
      <c r="M80" s="613"/>
      <c r="N80" s="613"/>
      <c r="O80" s="613"/>
      <c r="P80" s="613"/>
      <c r="Q80" s="613"/>
    </row>
    <row r="81" spans="1:17" ht="15.75">
      <c r="A81" s="750"/>
      <c r="B81" s="725"/>
      <c r="C81" s="751"/>
      <c r="D81" s="752"/>
      <c r="E81" s="690"/>
      <c r="F81" s="690"/>
      <c r="G81" s="690"/>
      <c r="H81" s="690"/>
      <c r="I81" s="690"/>
      <c r="J81" s="690"/>
      <c r="K81" s="690"/>
      <c r="L81" s="613"/>
      <c r="M81" s="613"/>
      <c r="N81" s="613"/>
      <c r="O81" s="613"/>
      <c r="P81" s="613"/>
      <c r="Q81" s="613"/>
    </row>
    <row r="82" spans="1:17" ht="15.75">
      <c r="A82" s="753" t="s">
        <v>55</v>
      </c>
      <c r="B82" s="754"/>
      <c r="C82" s="755"/>
      <c r="D82" s="755"/>
      <c r="E82" s="755"/>
      <c r="F82" s="755"/>
      <c r="G82" s="755"/>
      <c r="H82" s="755"/>
      <c r="I82" s="755"/>
      <c r="J82" s="755"/>
      <c r="K82" s="755"/>
      <c r="L82" s="756"/>
      <c r="M82" s="613"/>
      <c r="N82" s="613"/>
      <c r="O82" s="613"/>
      <c r="P82" s="613"/>
      <c r="Q82" s="613"/>
    </row>
    <row r="83" spans="1:17" ht="16.5" thickBot="1">
      <c r="A83" s="607"/>
      <c r="B83" s="608"/>
      <c r="C83" s="613"/>
      <c r="D83" s="613"/>
      <c r="E83" s="613"/>
      <c r="F83" s="613"/>
      <c r="G83" s="613"/>
      <c r="H83" s="613"/>
      <c r="I83" s="613"/>
      <c r="J83" s="613"/>
      <c r="K83" s="613"/>
      <c r="L83" s="613"/>
      <c r="M83" s="613"/>
      <c r="N83" s="613"/>
      <c r="O83" s="613"/>
      <c r="P83" s="613"/>
      <c r="Q83" s="613"/>
    </row>
    <row r="84" spans="1:17" ht="105.75">
      <c r="A84" s="757" t="s">
        <v>56</v>
      </c>
      <c r="B84" s="758" t="s">
        <v>279</v>
      </c>
      <c r="C84" s="759" t="s">
        <v>9</v>
      </c>
      <c r="D84" s="760" t="s">
        <v>58</v>
      </c>
      <c r="E84" s="761" t="s">
        <v>59</v>
      </c>
      <c r="F84" s="762" t="s">
        <v>60</v>
      </c>
      <c r="G84" s="762" t="s">
        <v>61</v>
      </c>
      <c r="H84" s="762" t="s">
        <v>62</v>
      </c>
      <c r="I84" s="762" t="s">
        <v>63</v>
      </c>
      <c r="J84" s="762" t="s">
        <v>64</v>
      </c>
      <c r="K84" s="763" t="s">
        <v>65</v>
      </c>
      <c r="L84" s="729"/>
      <c r="M84" s="729"/>
      <c r="N84" s="729"/>
      <c r="O84" s="729"/>
      <c r="P84" s="729"/>
      <c r="Q84" s="729"/>
    </row>
    <row r="85" spans="1:17" ht="15.75">
      <c r="A85" s="2157"/>
      <c r="B85" s="2112"/>
      <c r="C85" s="682">
        <v>2014</v>
      </c>
      <c r="D85" s="764"/>
      <c r="E85" s="765"/>
      <c r="F85" s="639"/>
      <c r="G85" s="639"/>
      <c r="H85" s="639"/>
      <c r="I85" s="639"/>
      <c r="J85" s="639"/>
      <c r="K85" s="642"/>
      <c r="L85" s="613"/>
      <c r="M85" s="613"/>
      <c r="N85" s="613"/>
      <c r="O85" s="613"/>
      <c r="P85" s="613"/>
      <c r="Q85" s="613"/>
    </row>
    <row r="86" spans="1:17" ht="15.75">
      <c r="A86" s="2158"/>
      <c r="B86" s="2112"/>
      <c r="C86" s="683">
        <v>2015</v>
      </c>
      <c r="D86" s="766"/>
      <c r="E86" s="718"/>
      <c r="F86" s="646"/>
      <c r="G86" s="646"/>
      <c r="H86" s="646"/>
      <c r="I86" s="646"/>
      <c r="J86" s="646"/>
      <c r="K86" s="698"/>
      <c r="L86" s="613"/>
      <c r="M86" s="613"/>
      <c r="N86" s="613"/>
      <c r="O86" s="613"/>
      <c r="P86" s="613"/>
      <c r="Q86" s="613"/>
    </row>
    <row r="87" spans="1:17" ht="15.75">
      <c r="A87" s="2158"/>
      <c r="B87" s="2112"/>
      <c r="C87" s="683">
        <v>2016</v>
      </c>
      <c r="D87" s="766"/>
      <c r="E87" s="718"/>
      <c r="F87" s="646"/>
      <c r="G87" s="646"/>
      <c r="H87" s="646"/>
      <c r="I87" s="646"/>
      <c r="J87" s="646"/>
      <c r="K87" s="698"/>
      <c r="L87" s="613"/>
      <c r="M87" s="613"/>
      <c r="N87" s="613"/>
      <c r="O87" s="613"/>
      <c r="P87" s="613"/>
      <c r="Q87" s="613"/>
    </row>
    <row r="88" spans="1:17" ht="15.75">
      <c r="A88" s="2158"/>
      <c r="B88" s="2112"/>
      <c r="C88" s="683">
        <v>2017</v>
      </c>
      <c r="D88" s="766"/>
      <c r="E88" s="718"/>
      <c r="F88" s="646"/>
      <c r="G88" s="646"/>
      <c r="H88" s="646"/>
      <c r="I88" s="646"/>
      <c r="J88" s="646"/>
      <c r="K88" s="698"/>
      <c r="L88" s="613"/>
      <c r="M88" s="613"/>
      <c r="N88" s="613"/>
      <c r="O88" s="613"/>
      <c r="P88" s="613"/>
      <c r="Q88" s="613"/>
    </row>
    <row r="89" spans="1:17" ht="15.75">
      <c r="A89" s="2158"/>
      <c r="B89" s="2112"/>
      <c r="C89" s="683">
        <v>2018</v>
      </c>
      <c r="D89" s="766"/>
      <c r="E89" s="718"/>
      <c r="F89" s="646"/>
      <c r="G89" s="646"/>
      <c r="H89" s="646"/>
      <c r="I89" s="646"/>
      <c r="J89" s="646"/>
      <c r="K89" s="698"/>
      <c r="L89" s="613"/>
      <c r="M89" s="613"/>
      <c r="N89" s="613"/>
      <c r="O89" s="613"/>
      <c r="P89" s="613"/>
      <c r="Q89" s="613"/>
    </row>
    <row r="90" spans="1:17" ht="15.75">
      <c r="A90" s="2158"/>
      <c r="B90" s="2112"/>
      <c r="C90" s="683">
        <v>2019</v>
      </c>
      <c r="D90" s="766"/>
      <c r="E90" s="718"/>
      <c r="F90" s="646"/>
      <c r="G90" s="646"/>
      <c r="H90" s="646"/>
      <c r="I90" s="646"/>
      <c r="J90" s="646"/>
      <c r="K90" s="698"/>
      <c r="L90" s="613"/>
      <c r="M90" s="613"/>
      <c r="N90" s="613"/>
      <c r="O90" s="613"/>
      <c r="P90" s="613"/>
      <c r="Q90" s="613"/>
    </row>
    <row r="91" spans="1:17" ht="15.75">
      <c r="A91" s="2158"/>
      <c r="B91" s="2112"/>
      <c r="C91" s="683">
        <v>2020</v>
      </c>
      <c r="D91" s="766"/>
      <c r="E91" s="718"/>
      <c r="F91" s="646"/>
      <c r="G91" s="646"/>
      <c r="H91" s="646"/>
      <c r="I91" s="646"/>
      <c r="J91" s="646"/>
      <c r="K91" s="698"/>
      <c r="L91" s="613"/>
      <c r="M91" s="613"/>
      <c r="N91" s="613"/>
      <c r="O91" s="613"/>
      <c r="P91" s="613"/>
      <c r="Q91" s="613"/>
    </row>
    <row r="92" spans="1:17" ht="16.5" thickBot="1">
      <c r="A92" s="2159"/>
      <c r="B92" s="2114"/>
      <c r="C92" s="746" t="s">
        <v>13</v>
      </c>
      <c r="D92" s="767">
        <f t="shared" ref="D92:I92" si="7">SUM(D85:D91)</f>
        <v>0</v>
      </c>
      <c r="E92" s="721">
        <f t="shared" si="7"/>
        <v>0</v>
      </c>
      <c r="F92" s="722">
        <f t="shared" si="7"/>
        <v>0</v>
      </c>
      <c r="G92" s="722">
        <f t="shared" si="7"/>
        <v>0</v>
      </c>
      <c r="H92" s="722">
        <f t="shared" si="7"/>
        <v>0</v>
      </c>
      <c r="I92" s="722">
        <f t="shared" si="7"/>
        <v>0</v>
      </c>
      <c r="J92" s="722">
        <f>SUM(J85:J91)</f>
        <v>0</v>
      </c>
      <c r="K92" s="723">
        <f>SUM(K85:K91)</f>
        <v>0</v>
      </c>
      <c r="L92" s="613"/>
      <c r="M92" s="613"/>
      <c r="N92" s="613"/>
      <c r="O92" s="613"/>
      <c r="P92" s="613"/>
      <c r="Q92" s="613"/>
    </row>
    <row r="93" spans="1:17" ht="15.75">
      <c r="A93" s="612"/>
      <c r="B93" s="613"/>
      <c r="C93" s="613"/>
      <c r="D93" s="613"/>
      <c r="E93" s="613"/>
      <c r="F93" s="613"/>
      <c r="G93" s="613"/>
      <c r="H93" s="613"/>
      <c r="I93" s="613"/>
      <c r="J93" s="613"/>
      <c r="K93" s="613"/>
      <c r="L93" s="613"/>
      <c r="M93" s="613"/>
      <c r="N93" s="613"/>
      <c r="O93" s="613"/>
      <c r="P93" s="613"/>
      <c r="Q93" s="613"/>
    </row>
    <row r="94" spans="1:17" ht="15.75">
      <c r="A94" s="768" t="s">
        <v>67</v>
      </c>
      <c r="B94" s="769"/>
      <c r="C94" s="770"/>
      <c r="D94" s="770"/>
      <c r="E94" s="770"/>
      <c r="F94" s="770"/>
      <c r="G94" s="770"/>
      <c r="H94" s="770"/>
      <c r="I94" s="770"/>
      <c r="J94" s="770"/>
      <c r="K94" s="770"/>
      <c r="L94" s="770"/>
      <c r="M94" s="770"/>
      <c r="N94" s="771"/>
      <c r="O94" s="771"/>
      <c r="P94" s="771"/>
      <c r="Q94" s="613"/>
    </row>
    <row r="95" spans="1:17" ht="16.5" thickBot="1">
      <c r="A95" s="772"/>
      <c r="B95" s="773"/>
      <c r="C95" s="675"/>
      <c r="D95" s="675"/>
      <c r="E95" s="675"/>
      <c r="F95" s="675"/>
      <c r="G95" s="675"/>
      <c r="H95" s="675"/>
      <c r="I95" s="675"/>
      <c r="J95" s="675"/>
      <c r="K95" s="675"/>
      <c r="L95" s="675"/>
      <c r="M95" s="675"/>
      <c r="N95" s="675"/>
      <c r="O95" s="675"/>
      <c r="P95" s="675"/>
      <c r="Q95" s="675"/>
    </row>
    <row r="96" spans="1:17" ht="15.75">
      <c r="A96" s="2145" t="s">
        <v>68</v>
      </c>
      <c r="B96" s="2147" t="s">
        <v>275</v>
      </c>
      <c r="C96" s="2149" t="s">
        <v>9</v>
      </c>
      <c r="D96" s="2155" t="s">
        <v>70</v>
      </c>
      <c r="E96" s="2156"/>
      <c r="F96" s="774" t="s">
        <v>71</v>
      </c>
      <c r="G96" s="775"/>
      <c r="H96" s="775"/>
      <c r="I96" s="775"/>
      <c r="J96" s="775"/>
      <c r="K96" s="775"/>
      <c r="L96" s="775"/>
      <c r="M96" s="776"/>
      <c r="N96" s="690"/>
      <c r="O96" s="690"/>
      <c r="P96" s="690"/>
      <c r="Q96" s="613"/>
    </row>
    <row r="97" spans="1:17" ht="120.75">
      <c r="A97" s="2146"/>
      <c r="B97" s="2148"/>
      <c r="C97" s="2150"/>
      <c r="D97" s="777" t="s">
        <v>72</v>
      </c>
      <c r="E97" s="778" t="s">
        <v>73</v>
      </c>
      <c r="F97" s="779" t="s">
        <v>14</v>
      </c>
      <c r="G97" s="780" t="s">
        <v>74</v>
      </c>
      <c r="H97" s="780" t="s">
        <v>61</v>
      </c>
      <c r="I97" s="781" t="s">
        <v>62</v>
      </c>
      <c r="J97" s="781" t="s">
        <v>63</v>
      </c>
      <c r="K97" s="782" t="s">
        <v>75</v>
      </c>
      <c r="L97" s="780" t="s">
        <v>64</v>
      </c>
      <c r="M97" s="783" t="s">
        <v>65</v>
      </c>
      <c r="N97" s="690"/>
      <c r="O97" s="690"/>
      <c r="P97" s="690"/>
      <c r="Q97" s="613"/>
    </row>
    <row r="98" spans="1:17" ht="15.75">
      <c r="A98" s="2111" t="s">
        <v>280</v>
      </c>
      <c r="B98" s="2112"/>
      <c r="C98" s="712">
        <v>2014</v>
      </c>
      <c r="D98" s="638"/>
      <c r="E98" s="639"/>
      <c r="F98" s="765"/>
      <c r="G98" s="639"/>
      <c r="H98" s="639"/>
      <c r="I98" s="639"/>
      <c r="J98" s="639"/>
      <c r="K98" s="639"/>
      <c r="L98" s="639"/>
      <c r="M98" s="642"/>
      <c r="N98" s="690"/>
      <c r="O98" s="690"/>
      <c r="P98" s="690"/>
      <c r="Q98" s="613"/>
    </row>
    <row r="99" spans="1:17" ht="15.75">
      <c r="A99" s="2111"/>
      <c r="B99" s="2112"/>
      <c r="C99" s="716">
        <v>2015</v>
      </c>
      <c r="D99" s="645">
        <v>1</v>
      </c>
      <c r="E99" s="646">
        <v>1</v>
      </c>
      <c r="F99" s="718"/>
      <c r="G99" s="646"/>
      <c r="H99" s="646"/>
      <c r="I99" s="646"/>
      <c r="J99" s="646"/>
      <c r="K99" s="646"/>
      <c r="L99" s="646"/>
      <c r="M99" s="698">
        <v>1</v>
      </c>
      <c r="N99" s="690"/>
      <c r="O99" s="690"/>
      <c r="P99" s="690"/>
      <c r="Q99" s="613"/>
    </row>
    <row r="100" spans="1:17" ht="15.75">
      <c r="A100" s="2111"/>
      <c r="B100" s="2112"/>
      <c r="C100" s="716">
        <v>2016</v>
      </c>
      <c r="D100" s="645">
        <v>1</v>
      </c>
      <c r="E100" s="646">
        <v>7</v>
      </c>
      <c r="F100" s="718"/>
      <c r="G100" s="646"/>
      <c r="H100" s="646"/>
      <c r="I100" s="646"/>
      <c r="J100" s="646"/>
      <c r="K100" s="646"/>
      <c r="L100" s="646"/>
      <c r="M100" s="698">
        <v>1</v>
      </c>
      <c r="N100" s="690"/>
      <c r="O100" s="690"/>
      <c r="P100" s="690"/>
      <c r="Q100" s="613"/>
    </row>
    <row r="101" spans="1:17" ht="15.75">
      <c r="A101" s="2111"/>
      <c r="B101" s="2112"/>
      <c r="C101" s="716">
        <v>2017</v>
      </c>
      <c r="D101" s="645">
        <v>1</v>
      </c>
      <c r="E101" s="646">
        <v>8</v>
      </c>
      <c r="F101" s="718"/>
      <c r="G101" s="646"/>
      <c r="H101" s="646"/>
      <c r="I101" s="646"/>
      <c r="J101" s="646"/>
      <c r="K101" s="646"/>
      <c r="L101" s="646"/>
      <c r="M101" s="698">
        <v>1</v>
      </c>
      <c r="N101" s="690"/>
      <c r="O101" s="690"/>
      <c r="P101" s="690"/>
      <c r="Q101" s="613"/>
    </row>
    <row r="102" spans="1:17" ht="15.75">
      <c r="A102" s="2111"/>
      <c r="B102" s="2112"/>
      <c r="C102" s="716">
        <v>2018</v>
      </c>
      <c r="D102" s="645"/>
      <c r="E102" s="646"/>
      <c r="F102" s="718"/>
      <c r="G102" s="646"/>
      <c r="H102" s="646"/>
      <c r="I102" s="646"/>
      <c r="J102" s="646"/>
      <c r="K102" s="646"/>
      <c r="L102" s="646"/>
      <c r="M102" s="698"/>
      <c r="N102" s="690"/>
      <c r="O102" s="690"/>
      <c r="P102" s="690"/>
      <c r="Q102" s="613"/>
    </row>
    <row r="103" spans="1:17" ht="15.75">
      <c r="A103" s="2111"/>
      <c r="B103" s="2112"/>
      <c r="C103" s="716">
        <v>2019</v>
      </c>
      <c r="D103" s="645"/>
      <c r="E103" s="646"/>
      <c r="F103" s="718"/>
      <c r="G103" s="646"/>
      <c r="H103" s="646"/>
      <c r="I103" s="646"/>
      <c r="J103" s="646"/>
      <c r="K103" s="646"/>
      <c r="L103" s="646"/>
      <c r="M103" s="698"/>
      <c r="N103" s="690"/>
      <c r="O103" s="690"/>
      <c r="P103" s="690"/>
      <c r="Q103" s="613"/>
    </row>
    <row r="104" spans="1:17" ht="15.75">
      <c r="A104" s="2111"/>
      <c r="B104" s="2112"/>
      <c r="C104" s="716">
        <v>2020</v>
      </c>
      <c r="D104" s="645"/>
      <c r="E104" s="646"/>
      <c r="F104" s="718"/>
      <c r="G104" s="646"/>
      <c r="H104" s="646"/>
      <c r="I104" s="646"/>
      <c r="J104" s="646"/>
      <c r="K104" s="646"/>
      <c r="L104" s="646"/>
      <c r="M104" s="698"/>
      <c r="N104" s="690"/>
      <c r="O104" s="690"/>
      <c r="P104" s="690"/>
      <c r="Q104" s="613"/>
    </row>
    <row r="105" spans="1:17" ht="16.5" thickBot="1">
      <c r="A105" s="2144"/>
      <c r="B105" s="2114"/>
      <c r="C105" s="719" t="s">
        <v>13</v>
      </c>
      <c r="D105" s="749">
        <f>SUM(D98:D104)</f>
        <v>3</v>
      </c>
      <c r="E105" s="722">
        <f t="shared" ref="E105:K105" si="8">SUM(E98:E104)</f>
        <v>16</v>
      </c>
      <c r="F105" s="721">
        <f t="shared" si="8"/>
        <v>0</v>
      </c>
      <c r="G105" s="722">
        <f t="shared" si="8"/>
        <v>0</v>
      </c>
      <c r="H105" s="722">
        <f t="shared" si="8"/>
        <v>0</v>
      </c>
      <c r="I105" s="722">
        <f>SUM(I98:I104)</f>
        <v>0</v>
      </c>
      <c r="J105" s="722">
        <f t="shared" si="8"/>
        <v>0</v>
      </c>
      <c r="K105" s="722">
        <f t="shared" si="8"/>
        <v>0</v>
      </c>
      <c r="L105" s="722">
        <f>SUM(L98:L104)</f>
        <v>0</v>
      </c>
      <c r="M105" s="723">
        <f>SUM(M98:M104)</f>
        <v>3</v>
      </c>
      <c r="N105" s="690"/>
      <c r="O105" s="690"/>
      <c r="P105" s="690"/>
      <c r="Q105" s="613"/>
    </row>
    <row r="106" spans="1:17" ht="16.5" thickBot="1">
      <c r="A106" s="784"/>
      <c r="B106" s="785"/>
      <c r="C106" s="786"/>
      <c r="D106" s="617"/>
      <c r="E106" s="617"/>
      <c r="F106" s="613"/>
      <c r="G106" s="613"/>
      <c r="H106" s="617"/>
      <c r="I106" s="617"/>
      <c r="J106" s="617"/>
      <c r="K106" s="617"/>
      <c r="L106" s="617"/>
      <c r="M106" s="617"/>
      <c r="N106" s="617"/>
      <c r="O106" s="613"/>
      <c r="P106" s="613"/>
      <c r="Q106" s="613"/>
    </row>
    <row r="107" spans="1:17" ht="15.75">
      <c r="A107" s="2145" t="s">
        <v>77</v>
      </c>
      <c r="B107" s="2147" t="s">
        <v>275</v>
      </c>
      <c r="C107" s="2149" t="s">
        <v>9</v>
      </c>
      <c r="D107" s="2151" t="s">
        <v>78</v>
      </c>
      <c r="E107" s="774" t="s">
        <v>79</v>
      </c>
      <c r="F107" s="775"/>
      <c r="G107" s="775"/>
      <c r="H107" s="775"/>
      <c r="I107" s="775"/>
      <c r="J107" s="775"/>
      <c r="K107" s="775"/>
      <c r="L107" s="776"/>
      <c r="M107" s="617"/>
      <c r="N107" s="617"/>
      <c r="O107" s="613"/>
      <c r="P107" s="613"/>
      <c r="Q107" s="613"/>
    </row>
    <row r="108" spans="1:17" ht="120.75">
      <c r="A108" s="2146"/>
      <c r="B108" s="2148"/>
      <c r="C108" s="2150"/>
      <c r="D108" s="2152"/>
      <c r="E108" s="779" t="s">
        <v>14</v>
      </c>
      <c r="F108" s="780" t="s">
        <v>74</v>
      </c>
      <c r="G108" s="780" t="s">
        <v>61</v>
      </c>
      <c r="H108" s="781" t="s">
        <v>62</v>
      </c>
      <c r="I108" s="781" t="s">
        <v>63</v>
      </c>
      <c r="J108" s="782" t="s">
        <v>75</v>
      </c>
      <c r="K108" s="780" t="s">
        <v>64</v>
      </c>
      <c r="L108" s="783" t="s">
        <v>65</v>
      </c>
      <c r="M108" s="617"/>
      <c r="N108" s="617"/>
      <c r="O108" s="613"/>
      <c r="P108" s="613"/>
      <c r="Q108" s="613"/>
    </row>
    <row r="109" spans="1:17" ht="15.75">
      <c r="A109" s="2111"/>
      <c r="B109" s="2112"/>
      <c r="C109" s="712">
        <v>2014</v>
      </c>
      <c r="D109" s="639"/>
      <c r="E109" s="765"/>
      <c r="F109" s="639"/>
      <c r="G109" s="639"/>
      <c r="H109" s="639"/>
      <c r="I109" s="639"/>
      <c r="J109" s="639"/>
      <c r="K109" s="639"/>
      <c r="L109" s="642"/>
      <c r="M109" s="617"/>
      <c r="N109" s="617"/>
      <c r="O109" s="613"/>
      <c r="P109" s="613"/>
      <c r="Q109" s="613"/>
    </row>
    <row r="110" spans="1:17" ht="15.75">
      <c r="A110" s="2111"/>
      <c r="B110" s="2112"/>
      <c r="C110" s="716">
        <v>2015</v>
      </c>
      <c r="D110" s="646"/>
      <c r="E110" s="718"/>
      <c r="F110" s="646"/>
      <c r="G110" s="646"/>
      <c r="H110" s="646"/>
      <c r="I110" s="646"/>
      <c r="J110" s="646"/>
      <c r="K110" s="646"/>
      <c r="L110" s="698"/>
      <c r="M110" s="617"/>
      <c r="N110" s="617"/>
      <c r="O110" s="613"/>
      <c r="P110" s="613"/>
      <c r="Q110" s="613"/>
    </row>
    <row r="111" spans="1:17" ht="15.75">
      <c r="A111" s="2111"/>
      <c r="B111" s="2112"/>
      <c r="C111" s="716">
        <v>2016</v>
      </c>
      <c r="D111" s="646"/>
      <c r="E111" s="718"/>
      <c r="F111" s="646"/>
      <c r="G111" s="646"/>
      <c r="H111" s="646"/>
      <c r="I111" s="646"/>
      <c r="J111" s="646"/>
      <c r="K111" s="646"/>
      <c r="L111" s="698"/>
      <c r="M111" s="617"/>
      <c r="N111" s="617"/>
      <c r="O111" s="613"/>
      <c r="P111" s="613"/>
      <c r="Q111" s="613"/>
    </row>
    <row r="112" spans="1:17" ht="15.75">
      <c r="A112" s="2111"/>
      <c r="B112" s="2112"/>
      <c r="C112" s="716">
        <v>2017</v>
      </c>
      <c r="D112" s="646"/>
      <c r="E112" s="718"/>
      <c r="F112" s="646"/>
      <c r="G112" s="646"/>
      <c r="H112" s="646"/>
      <c r="I112" s="646"/>
      <c r="J112" s="646"/>
      <c r="K112" s="646"/>
      <c r="L112" s="698"/>
      <c r="M112" s="617"/>
      <c r="N112" s="617"/>
      <c r="O112" s="613"/>
      <c r="P112" s="613"/>
      <c r="Q112" s="613"/>
    </row>
    <row r="113" spans="1:17" ht="15.75">
      <c r="A113" s="2111"/>
      <c r="B113" s="2112"/>
      <c r="C113" s="716">
        <v>2018</v>
      </c>
      <c r="D113" s="646"/>
      <c r="E113" s="718"/>
      <c r="F113" s="646"/>
      <c r="G113" s="646"/>
      <c r="H113" s="646"/>
      <c r="I113" s="646"/>
      <c r="J113" s="646"/>
      <c r="K113" s="646"/>
      <c r="L113" s="698"/>
      <c r="M113" s="617"/>
      <c r="N113" s="617"/>
      <c r="O113" s="613"/>
      <c r="P113" s="613"/>
      <c r="Q113" s="613"/>
    </row>
    <row r="114" spans="1:17" ht="15.75">
      <c r="A114" s="2111"/>
      <c r="B114" s="2112"/>
      <c r="C114" s="716">
        <v>2019</v>
      </c>
      <c r="D114" s="646"/>
      <c r="E114" s="718"/>
      <c r="F114" s="646"/>
      <c r="G114" s="646"/>
      <c r="H114" s="646"/>
      <c r="I114" s="646"/>
      <c r="J114" s="646"/>
      <c r="K114" s="646"/>
      <c r="L114" s="698"/>
      <c r="M114" s="617"/>
      <c r="N114" s="617"/>
      <c r="O114" s="613"/>
      <c r="P114" s="613"/>
      <c r="Q114" s="613"/>
    </row>
    <row r="115" spans="1:17" ht="15.75">
      <c r="A115" s="2111"/>
      <c r="B115" s="2112"/>
      <c r="C115" s="716">
        <v>2020</v>
      </c>
      <c r="D115" s="646"/>
      <c r="E115" s="718"/>
      <c r="F115" s="646"/>
      <c r="G115" s="646"/>
      <c r="H115" s="646"/>
      <c r="I115" s="646"/>
      <c r="J115" s="646"/>
      <c r="K115" s="646"/>
      <c r="L115" s="698"/>
      <c r="M115" s="617"/>
      <c r="N115" s="617"/>
      <c r="O115" s="613"/>
      <c r="P115" s="613"/>
      <c r="Q115" s="613"/>
    </row>
    <row r="116" spans="1:17" ht="16.5" thickBot="1">
      <c r="A116" s="2144"/>
      <c r="B116" s="2114"/>
      <c r="C116" s="719" t="s">
        <v>13</v>
      </c>
      <c r="D116" s="722">
        <f t="shared" ref="D116:I116" si="9">SUM(D109:D115)</f>
        <v>0</v>
      </c>
      <c r="E116" s="721">
        <f t="shared" si="9"/>
        <v>0</v>
      </c>
      <c r="F116" s="722">
        <f t="shared" si="9"/>
        <v>0</v>
      </c>
      <c r="G116" s="722">
        <f t="shared" si="9"/>
        <v>0</v>
      </c>
      <c r="H116" s="722">
        <f t="shared" si="9"/>
        <v>0</v>
      </c>
      <c r="I116" s="722">
        <f t="shared" si="9"/>
        <v>0</v>
      </c>
      <c r="J116" s="722"/>
      <c r="K116" s="722">
        <f>SUM(K109:K115)</f>
        <v>0</v>
      </c>
      <c r="L116" s="723">
        <f>SUM(L109:L115)</f>
        <v>0</v>
      </c>
      <c r="M116" s="617"/>
      <c r="N116" s="617"/>
      <c r="O116" s="613"/>
      <c r="P116" s="613"/>
      <c r="Q116" s="613"/>
    </row>
    <row r="117" spans="1:17" ht="16.5" thickBot="1">
      <c r="A117" s="787"/>
      <c r="B117" s="788"/>
      <c r="C117" s="675"/>
      <c r="D117" s="675"/>
      <c r="E117" s="675"/>
      <c r="F117" s="675"/>
      <c r="G117" s="675"/>
      <c r="H117" s="675"/>
      <c r="I117" s="675"/>
      <c r="J117" s="675"/>
      <c r="K117" s="675"/>
      <c r="L117" s="675"/>
      <c r="M117" s="617"/>
      <c r="N117" s="617"/>
      <c r="O117" s="613"/>
      <c r="P117" s="613"/>
      <c r="Q117" s="613"/>
    </row>
    <row r="118" spans="1:17" ht="15.75">
      <c r="A118" s="2145" t="s">
        <v>81</v>
      </c>
      <c r="B118" s="2147" t="s">
        <v>275</v>
      </c>
      <c r="C118" s="2149" t="s">
        <v>9</v>
      </c>
      <c r="D118" s="2151" t="s">
        <v>82</v>
      </c>
      <c r="E118" s="774" t="s">
        <v>79</v>
      </c>
      <c r="F118" s="775"/>
      <c r="G118" s="775"/>
      <c r="H118" s="775"/>
      <c r="I118" s="775"/>
      <c r="J118" s="775"/>
      <c r="K118" s="775"/>
      <c r="L118" s="776"/>
      <c r="M118" s="617"/>
      <c r="N118" s="617"/>
      <c r="O118" s="613"/>
      <c r="P118" s="613"/>
      <c r="Q118" s="613"/>
    </row>
    <row r="119" spans="1:17" ht="120.75">
      <c r="A119" s="2146"/>
      <c r="B119" s="2148"/>
      <c r="C119" s="2150"/>
      <c r="D119" s="2152"/>
      <c r="E119" s="779" t="s">
        <v>14</v>
      </c>
      <c r="F119" s="780" t="s">
        <v>74</v>
      </c>
      <c r="G119" s="780" t="s">
        <v>61</v>
      </c>
      <c r="H119" s="781" t="s">
        <v>62</v>
      </c>
      <c r="I119" s="781" t="s">
        <v>63</v>
      </c>
      <c r="J119" s="782" t="s">
        <v>75</v>
      </c>
      <c r="K119" s="780" t="s">
        <v>64</v>
      </c>
      <c r="L119" s="783" t="s">
        <v>65</v>
      </c>
      <c r="M119" s="617"/>
      <c r="N119" s="617"/>
      <c r="O119" s="613"/>
      <c r="P119" s="613"/>
      <c r="Q119" s="613"/>
    </row>
    <row r="120" spans="1:17" ht="15.75">
      <c r="A120" s="2111"/>
      <c r="B120" s="2112"/>
      <c r="C120" s="712">
        <v>2014</v>
      </c>
      <c r="D120" s="639"/>
      <c r="E120" s="765"/>
      <c r="F120" s="639"/>
      <c r="G120" s="639"/>
      <c r="H120" s="639"/>
      <c r="I120" s="639"/>
      <c r="J120" s="639"/>
      <c r="K120" s="639"/>
      <c r="L120" s="642"/>
      <c r="M120" s="617"/>
      <c r="N120" s="617"/>
      <c r="O120" s="613"/>
      <c r="P120" s="613"/>
      <c r="Q120" s="613"/>
    </row>
    <row r="121" spans="1:17" ht="15.75">
      <c r="A121" s="2111"/>
      <c r="B121" s="2112"/>
      <c r="C121" s="716">
        <v>2015</v>
      </c>
      <c r="D121" s="646"/>
      <c r="E121" s="718"/>
      <c r="F121" s="646"/>
      <c r="G121" s="646"/>
      <c r="H121" s="646"/>
      <c r="I121" s="646"/>
      <c r="J121" s="646"/>
      <c r="K121" s="646"/>
      <c r="L121" s="698"/>
      <c r="M121" s="617"/>
      <c r="N121" s="617"/>
      <c r="O121" s="613"/>
      <c r="P121" s="613"/>
      <c r="Q121" s="613"/>
    </row>
    <row r="122" spans="1:17" ht="15.75">
      <c r="A122" s="2111"/>
      <c r="B122" s="2112"/>
      <c r="C122" s="716">
        <v>2016</v>
      </c>
      <c r="D122" s="646"/>
      <c r="E122" s="718"/>
      <c r="F122" s="646"/>
      <c r="G122" s="646"/>
      <c r="H122" s="646"/>
      <c r="I122" s="646"/>
      <c r="J122" s="646"/>
      <c r="K122" s="646"/>
      <c r="L122" s="698"/>
      <c r="M122" s="617"/>
      <c r="N122" s="617"/>
      <c r="O122" s="613"/>
      <c r="P122" s="613"/>
      <c r="Q122" s="613"/>
    </row>
    <row r="123" spans="1:17" ht="15.75">
      <c r="A123" s="2111"/>
      <c r="B123" s="2112"/>
      <c r="C123" s="716">
        <v>2017</v>
      </c>
      <c r="D123" s="646"/>
      <c r="E123" s="718"/>
      <c r="F123" s="646"/>
      <c r="G123" s="646"/>
      <c r="H123" s="646"/>
      <c r="I123" s="646"/>
      <c r="J123" s="646"/>
      <c r="K123" s="646"/>
      <c r="L123" s="698"/>
      <c r="M123" s="617"/>
      <c r="N123" s="617"/>
      <c r="O123" s="613"/>
      <c r="P123" s="613"/>
      <c r="Q123" s="613"/>
    </row>
    <row r="124" spans="1:17" ht="15.75">
      <c r="A124" s="2111"/>
      <c r="B124" s="2112"/>
      <c r="C124" s="716">
        <v>2018</v>
      </c>
      <c r="D124" s="646"/>
      <c r="E124" s="718"/>
      <c r="F124" s="646"/>
      <c r="G124" s="646"/>
      <c r="H124" s="646"/>
      <c r="I124" s="646"/>
      <c r="J124" s="646"/>
      <c r="K124" s="646"/>
      <c r="L124" s="698"/>
      <c r="M124" s="617"/>
      <c r="N124" s="617"/>
      <c r="O124" s="613"/>
      <c r="P124" s="613"/>
      <c r="Q124" s="613"/>
    </row>
    <row r="125" spans="1:17" ht="15.75">
      <c r="A125" s="2111"/>
      <c r="B125" s="2112"/>
      <c r="C125" s="716">
        <v>2019</v>
      </c>
      <c r="D125" s="646"/>
      <c r="E125" s="718"/>
      <c r="F125" s="646"/>
      <c r="G125" s="646"/>
      <c r="H125" s="646"/>
      <c r="I125" s="646"/>
      <c r="J125" s="646"/>
      <c r="K125" s="646"/>
      <c r="L125" s="698"/>
      <c r="M125" s="617"/>
      <c r="N125" s="617"/>
      <c r="O125" s="613"/>
      <c r="P125" s="613"/>
      <c r="Q125" s="613"/>
    </row>
    <row r="126" spans="1:17" ht="15.75">
      <c r="A126" s="2111"/>
      <c r="B126" s="2112"/>
      <c r="C126" s="716">
        <v>2020</v>
      </c>
      <c r="D126" s="646"/>
      <c r="E126" s="718"/>
      <c r="F126" s="646"/>
      <c r="G126" s="646"/>
      <c r="H126" s="646"/>
      <c r="I126" s="646"/>
      <c r="J126" s="646"/>
      <c r="K126" s="646"/>
      <c r="L126" s="698"/>
      <c r="M126" s="617"/>
      <c r="N126" s="617"/>
      <c r="O126" s="613"/>
      <c r="P126" s="613"/>
      <c r="Q126" s="613"/>
    </row>
    <row r="127" spans="1:17" ht="16.5" thickBot="1">
      <c r="A127" s="2144"/>
      <c r="B127" s="2114"/>
      <c r="C127" s="719" t="s">
        <v>13</v>
      </c>
      <c r="D127" s="722">
        <f t="shared" ref="D127:I127" si="10">SUM(D120:D126)</f>
        <v>0</v>
      </c>
      <c r="E127" s="721">
        <f t="shared" si="10"/>
        <v>0</v>
      </c>
      <c r="F127" s="722">
        <f t="shared" si="10"/>
        <v>0</v>
      </c>
      <c r="G127" s="722">
        <f t="shared" si="10"/>
        <v>0</v>
      </c>
      <c r="H127" s="722">
        <f t="shared" si="10"/>
        <v>0</v>
      </c>
      <c r="I127" s="722">
        <f t="shared" si="10"/>
        <v>0</v>
      </c>
      <c r="J127" s="722"/>
      <c r="K127" s="722">
        <f>SUM(K120:K126)</f>
        <v>0</v>
      </c>
      <c r="L127" s="723">
        <f>SUM(L120:L126)</f>
        <v>0</v>
      </c>
      <c r="M127" s="617"/>
      <c r="N127" s="617"/>
      <c r="O127" s="613"/>
      <c r="P127" s="613"/>
      <c r="Q127" s="613"/>
    </row>
    <row r="128" spans="1:17" ht="16.5" thickBot="1">
      <c r="A128" s="784"/>
      <c r="B128" s="785"/>
      <c r="C128" s="786"/>
      <c r="D128" s="617"/>
      <c r="E128" s="617"/>
      <c r="F128" s="613"/>
      <c r="G128" s="613"/>
      <c r="H128" s="617"/>
      <c r="I128" s="617"/>
      <c r="J128" s="617"/>
      <c r="K128" s="617"/>
      <c r="L128" s="617"/>
      <c r="M128" s="617"/>
      <c r="N128" s="617"/>
      <c r="O128" s="613"/>
      <c r="P128" s="613"/>
      <c r="Q128" s="613"/>
    </row>
    <row r="129" spans="1:17" ht="31.5">
      <c r="A129" s="789" t="s">
        <v>84</v>
      </c>
      <c r="B129" s="2147" t="s">
        <v>275</v>
      </c>
      <c r="C129" s="790" t="s">
        <v>9</v>
      </c>
      <c r="D129" s="791" t="s">
        <v>85</v>
      </c>
      <c r="E129" s="792"/>
      <c r="F129" s="792"/>
      <c r="G129" s="793"/>
      <c r="H129" s="617"/>
      <c r="I129" s="617"/>
      <c r="J129" s="617"/>
      <c r="K129" s="617"/>
      <c r="L129" s="617"/>
      <c r="M129" s="617"/>
      <c r="N129" s="617"/>
      <c r="O129" s="613"/>
      <c r="P129" s="613"/>
      <c r="Q129" s="613"/>
    </row>
    <row r="130" spans="1:17" ht="75.75">
      <c r="A130" s="794"/>
      <c r="B130" s="2148"/>
      <c r="C130" s="795"/>
      <c r="D130" s="777" t="s">
        <v>86</v>
      </c>
      <c r="E130" s="796" t="s">
        <v>87</v>
      </c>
      <c r="F130" s="778" t="s">
        <v>88</v>
      </c>
      <c r="G130" s="797" t="s">
        <v>13</v>
      </c>
      <c r="H130" s="617"/>
      <c r="I130" s="617"/>
      <c r="J130" s="617"/>
      <c r="K130" s="617"/>
      <c r="L130" s="617"/>
      <c r="M130" s="617"/>
      <c r="N130" s="617"/>
      <c r="O130" s="613"/>
      <c r="P130" s="613"/>
      <c r="Q130" s="613"/>
    </row>
    <row r="131" spans="1:17" ht="15.75">
      <c r="A131" s="2100"/>
      <c r="B131" s="2097"/>
      <c r="C131" s="712">
        <v>2015</v>
      </c>
      <c r="D131" s="638">
        <v>15</v>
      </c>
      <c r="E131" s="639"/>
      <c r="F131" s="639"/>
      <c r="G131" s="798">
        <f t="shared" ref="G131:G136" si="11">SUM(D131:F131)</f>
        <v>15</v>
      </c>
      <c r="H131" s="617"/>
      <c r="I131" s="617"/>
      <c r="J131" s="617"/>
      <c r="K131" s="617"/>
      <c r="L131" s="617"/>
      <c r="M131" s="617"/>
      <c r="N131" s="617"/>
      <c r="O131" s="613"/>
      <c r="P131" s="613"/>
      <c r="Q131" s="613"/>
    </row>
    <row r="132" spans="1:17" ht="15.75">
      <c r="A132" s="2100"/>
      <c r="B132" s="2097"/>
      <c r="C132" s="716">
        <v>2016</v>
      </c>
      <c r="D132" s="645">
        <v>78</v>
      </c>
      <c r="E132" s="646"/>
      <c r="F132" s="646"/>
      <c r="G132" s="798">
        <f t="shared" si="11"/>
        <v>78</v>
      </c>
      <c r="H132" s="617"/>
      <c r="I132" s="617"/>
      <c r="J132" s="617"/>
      <c r="K132" s="617"/>
      <c r="L132" s="617"/>
      <c r="M132" s="617"/>
      <c r="N132" s="617"/>
      <c r="O132" s="613"/>
      <c r="P132" s="613"/>
      <c r="Q132" s="613"/>
    </row>
    <row r="133" spans="1:17" ht="15.75">
      <c r="A133" s="2100"/>
      <c r="B133" s="2097"/>
      <c r="C133" s="716">
        <v>2017</v>
      </c>
      <c r="D133" s="645">
        <v>92</v>
      </c>
      <c r="E133" s="646"/>
      <c r="F133" s="646"/>
      <c r="G133" s="798">
        <f t="shared" si="11"/>
        <v>92</v>
      </c>
      <c r="H133" s="617"/>
      <c r="I133" s="617"/>
      <c r="J133" s="617"/>
      <c r="K133" s="617"/>
      <c r="L133" s="617"/>
      <c r="M133" s="617"/>
      <c r="N133" s="617"/>
      <c r="O133" s="613"/>
      <c r="P133" s="613"/>
      <c r="Q133" s="613"/>
    </row>
    <row r="134" spans="1:17" ht="15.75">
      <c r="A134" s="2100"/>
      <c r="B134" s="2097"/>
      <c r="C134" s="716">
        <v>2018</v>
      </c>
      <c r="D134" s="645"/>
      <c r="E134" s="646"/>
      <c r="F134" s="646"/>
      <c r="G134" s="798">
        <f t="shared" si="11"/>
        <v>0</v>
      </c>
      <c r="H134" s="617"/>
      <c r="I134" s="617"/>
      <c r="J134" s="617"/>
      <c r="K134" s="617"/>
      <c r="L134" s="617"/>
      <c r="M134" s="617"/>
      <c r="N134" s="617"/>
      <c r="O134" s="613"/>
      <c r="P134" s="613"/>
      <c r="Q134" s="613"/>
    </row>
    <row r="135" spans="1:17" ht="15.75">
      <c r="A135" s="2100"/>
      <c r="B135" s="2097"/>
      <c r="C135" s="716">
        <v>2019</v>
      </c>
      <c r="D135" s="645"/>
      <c r="E135" s="646"/>
      <c r="F135" s="646"/>
      <c r="G135" s="798">
        <f t="shared" si="11"/>
        <v>0</v>
      </c>
      <c r="H135" s="617"/>
      <c r="I135" s="617"/>
      <c r="J135" s="617"/>
      <c r="K135" s="617"/>
      <c r="L135" s="617"/>
      <c r="M135" s="617"/>
      <c r="N135" s="617"/>
      <c r="O135" s="613"/>
      <c r="P135" s="613"/>
      <c r="Q135" s="613"/>
    </row>
    <row r="136" spans="1:17" ht="15.75">
      <c r="A136" s="2100"/>
      <c r="B136" s="2097"/>
      <c r="C136" s="716">
        <v>2020</v>
      </c>
      <c r="D136" s="645"/>
      <c r="E136" s="646"/>
      <c r="F136" s="646"/>
      <c r="G136" s="798">
        <f t="shared" si="11"/>
        <v>0</v>
      </c>
      <c r="H136" s="617"/>
      <c r="I136" s="617"/>
      <c r="J136" s="617"/>
      <c r="K136" s="617"/>
      <c r="L136" s="617"/>
      <c r="M136" s="617"/>
      <c r="N136" s="617"/>
      <c r="O136" s="613"/>
      <c r="P136" s="613"/>
      <c r="Q136" s="613"/>
    </row>
    <row r="137" spans="1:17" ht="16.5" thickBot="1">
      <c r="A137" s="2101"/>
      <c r="B137" s="2099"/>
      <c r="C137" s="719" t="s">
        <v>13</v>
      </c>
      <c r="D137" s="749">
        <f>SUM(D131:D136)</f>
        <v>185</v>
      </c>
      <c r="E137" s="749">
        <f t="shared" ref="E137:F137" si="12">SUM(E131:E136)</f>
        <v>0</v>
      </c>
      <c r="F137" s="749">
        <f t="shared" si="12"/>
        <v>0</v>
      </c>
      <c r="G137" s="799">
        <f>SUM(G131:G136)</f>
        <v>185</v>
      </c>
      <c r="H137" s="617"/>
      <c r="I137" s="617"/>
      <c r="J137" s="617"/>
      <c r="K137" s="617"/>
      <c r="L137" s="617"/>
      <c r="M137" s="617"/>
      <c r="N137" s="617"/>
      <c r="O137" s="613"/>
      <c r="P137" s="613"/>
      <c r="Q137" s="613"/>
    </row>
    <row r="138" spans="1:17" ht="15.75">
      <c r="A138" s="784"/>
      <c r="B138" s="785"/>
      <c r="C138" s="786"/>
      <c r="D138" s="617"/>
      <c r="E138" s="617"/>
      <c r="F138" s="613"/>
      <c r="G138" s="613"/>
      <c r="H138" s="617"/>
      <c r="I138" s="617"/>
      <c r="J138" s="617"/>
      <c r="K138" s="617"/>
      <c r="L138" s="617"/>
      <c r="M138" s="617"/>
      <c r="N138" s="617"/>
      <c r="O138" s="613"/>
      <c r="P138" s="613"/>
      <c r="Q138" s="613"/>
    </row>
    <row r="139" spans="1:17" ht="15.75">
      <c r="A139" s="800"/>
      <c r="B139" s="692"/>
      <c r="C139" s="693"/>
      <c r="D139" s="643"/>
      <c r="E139" s="643"/>
      <c r="F139" s="643"/>
      <c r="G139" s="643"/>
      <c r="H139" s="643"/>
      <c r="I139" s="801"/>
      <c r="J139" s="643"/>
      <c r="K139" s="643"/>
      <c r="L139" s="643"/>
      <c r="M139" s="643"/>
      <c r="N139" s="643"/>
      <c r="O139" s="643"/>
      <c r="P139" s="643"/>
      <c r="Q139" s="675"/>
    </row>
    <row r="140" spans="1:17" ht="15.75">
      <c r="A140" s="802" t="s">
        <v>90</v>
      </c>
      <c r="B140" s="803"/>
      <c r="C140" s="804"/>
      <c r="D140" s="804"/>
      <c r="E140" s="804"/>
      <c r="F140" s="804"/>
      <c r="G140" s="804"/>
      <c r="H140" s="804"/>
      <c r="I140" s="804"/>
      <c r="J140" s="804"/>
      <c r="K140" s="804"/>
      <c r="L140" s="804"/>
      <c r="M140" s="804"/>
      <c r="N140" s="804"/>
      <c r="O140" s="771"/>
      <c r="P140" s="771"/>
      <c r="Q140" s="613"/>
    </row>
    <row r="141" spans="1:17" ht="16.5" thickBot="1">
      <c r="A141" s="805"/>
      <c r="B141" s="725"/>
      <c r="C141" s="751"/>
      <c r="D141" s="690"/>
      <c r="E141" s="690"/>
      <c r="F141" s="690"/>
      <c r="G141" s="690"/>
      <c r="H141" s="690"/>
      <c r="I141" s="690"/>
      <c r="J141" s="690"/>
      <c r="K141" s="690"/>
      <c r="L141" s="690"/>
      <c r="M141" s="690"/>
      <c r="N141" s="690"/>
      <c r="O141" s="690"/>
      <c r="P141" s="690"/>
      <c r="Q141" s="613"/>
    </row>
    <row r="142" spans="1:17" ht="15.75">
      <c r="A142" s="2153" t="s">
        <v>91</v>
      </c>
      <c r="B142" s="2137" t="s">
        <v>275</v>
      </c>
      <c r="C142" s="2139" t="s">
        <v>9</v>
      </c>
      <c r="D142" s="806" t="s">
        <v>92</v>
      </c>
      <c r="E142" s="807"/>
      <c r="F142" s="807"/>
      <c r="G142" s="807"/>
      <c r="H142" s="807"/>
      <c r="I142" s="808"/>
      <c r="J142" s="2141" t="s">
        <v>93</v>
      </c>
      <c r="K142" s="2142"/>
      <c r="L142" s="2142"/>
      <c r="M142" s="2142"/>
      <c r="N142" s="2143"/>
      <c r="O142" s="690"/>
      <c r="P142" s="690"/>
      <c r="Q142" s="613"/>
    </row>
    <row r="143" spans="1:17" ht="110.25">
      <c r="A143" s="2154"/>
      <c r="B143" s="2138"/>
      <c r="C143" s="2140"/>
      <c r="D143" s="809" t="s">
        <v>94</v>
      </c>
      <c r="E143" s="810" t="s">
        <v>95</v>
      </c>
      <c r="F143" s="811" t="s">
        <v>96</v>
      </c>
      <c r="G143" s="811" t="s">
        <v>97</v>
      </c>
      <c r="H143" s="811" t="s">
        <v>98</v>
      </c>
      <c r="I143" s="812" t="s">
        <v>99</v>
      </c>
      <c r="J143" s="813" t="s">
        <v>100</v>
      </c>
      <c r="K143" s="814" t="s">
        <v>101</v>
      </c>
      <c r="L143" s="813" t="s">
        <v>102</v>
      </c>
      <c r="M143" s="814" t="s">
        <v>101</v>
      </c>
      <c r="N143" s="815" t="s">
        <v>103</v>
      </c>
      <c r="O143" s="690"/>
      <c r="P143" s="690"/>
      <c r="Q143" s="613"/>
    </row>
    <row r="144" spans="1:17" ht="15.75">
      <c r="A144" s="2111"/>
      <c r="B144" s="2112"/>
      <c r="C144" s="712">
        <v>2014</v>
      </c>
      <c r="D144" s="638"/>
      <c r="E144" s="638"/>
      <c r="F144" s="639"/>
      <c r="G144" s="639"/>
      <c r="H144" s="639"/>
      <c r="I144" s="816">
        <f>D144+F144+G144+H144</f>
        <v>0</v>
      </c>
      <c r="J144" s="638"/>
      <c r="K144" s="637"/>
      <c r="L144" s="638"/>
      <c r="M144" s="637"/>
      <c r="N144" s="764"/>
      <c r="O144" s="690"/>
      <c r="P144" s="690"/>
      <c r="Q144" s="613"/>
    </row>
    <row r="145" spans="1:17" ht="15.75">
      <c r="A145" s="2111"/>
      <c r="B145" s="2112"/>
      <c r="C145" s="716">
        <v>2015</v>
      </c>
      <c r="D145" s="645"/>
      <c r="E145" s="645"/>
      <c r="F145" s="646"/>
      <c r="G145" s="646"/>
      <c r="H145" s="646"/>
      <c r="I145" s="816">
        <f t="shared" ref="I145:I150" si="13">D145+F145+G145+H145</f>
        <v>0</v>
      </c>
      <c r="J145" s="645"/>
      <c r="K145" s="644"/>
      <c r="L145" s="645"/>
      <c r="M145" s="644"/>
      <c r="N145" s="766"/>
      <c r="O145" s="690"/>
      <c r="P145" s="690"/>
      <c r="Q145" s="613"/>
    </row>
    <row r="146" spans="1:17" ht="15.75">
      <c r="A146" s="2111"/>
      <c r="B146" s="2112"/>
      <c r="C146" s="716">
        <v>2016</v>
      </c>
      <c r="D146" s="645"/>
      <c r="E146" s="645"/>
      <c r="F146" s="646"/>
      <c r="G146" s="646"/>
      <c r="H146" s="646"/>
      <c r="I146" s="816">
        <f t="shared" si="13"/>
        <v>0</v>
      </c>
      <c r="J146" s="645"/>
      <c r="K146" s="644"/>
      <c r="L146" s="645"/>
      <c r="M146" s="644"/>
      <c r="N146" s="766"/>
      <c r="O146" s="690"/>
      <c r="P146" s="690"/>
      <c r="Q146" s="613"/>
    </row>
    <row r="147" spans="1:17" ht="15.75">
      <c r="A147" s="2111"/>
      <c r="B147" s="2112"/>
      <c r="C147" s="716">
        <v>2017</v>
      </c>
      <c r="D147" s="645"/>
      <c r="E147" s="645"/>
      <c r="F147" s="646"/>
      <c r="G147" s="646"/>
      <c r="H147" s="646"/>
      <c r="I147" s="816">
        <f t="shared" si="13"/>
        <v>0</v>
      </c>
      <c r="J147" s="645"/>
      <c r="K147" s="644"/>
      <c r="L147" s="645"/>
      <c r="M147" s="644"/>
      <c r="N147" s="766"/>
      <c r="O147" s="690"/>
      <c r="P147" s="690"/>
      <c r="Q147" s="613"/>
    </row>
    <row r="148" spans="1:17" ht="15.75">
      <c r="A148" s="2111"/>
      <c r="B148" s="2112"/>
      <c r="C148" s="716">
        <v>2018</v>
      </c>
      <c r="D148" s="645"/>
      <c r="E148" s="645"/>
      <c r="F148" s="646"/>
      <c r="G148" s="646"/>
      <c r="H148" s="646"/>
      <c r="I148" s="816">
        <f t="shared" si="13"/>
        <v>0</v>
      </c>
      <c r="J148" s="645"/>
      <c r="K148" s="644"/>
      <c r="L148" s="645"/>
      <c r="M148" s="644"/>
      <c r="N148" s="766"/>
      <c r="O148" s="690"/>
      <c r="P148" s="690"/>
      <c r="Q148" s="613"/>
    </row>
    <row r="149" spans="1:17" ht="15.75">
      <c r="A149" s="2111"/>
      <c r="B149" s="2112"/>
      <c r="C149" s="716">
        <v>2019</v>
      </c>
      <c r="D149" s="645"/>
      <c r="E149" s="645"/>
      <c r="F149" s="646"/>
      <c r="G149" s="646"/>
      <c r="H149" s="646"/>
      <c r="I149" s="816">
        <f t="shared" si="13"/>
        <v>0</v>
      </c>
      <c r="J149" s="645"/>
      <c r="K149" s="644"/>
      <c r="L149" s="645"/>
      <c r="M149" s="644"/>
      <c r="N149" s="766"/>
      <c r="O149" s="690"/>
      <c r="P149" s="690"/>
      <c r="Q149" s="613"/>
    </row>
    <row r="150" spans="1:17" ht="15.75">
      <c r="A150" s="2111"/>
      <c r="B150" s="2112"/>
      <c r="C150" s="716">
        <v>2020</v>
      </c>
      <c r="D150" s="645"/>
      <c r="E150" s="645"/>
      <c r="F150" s="646"/>
      <c r="G150" s="646"/>
      <c r="H150" s="646"/>
      <c r="I150" s="816">
        <f t="shared" si="13"/>
        <v>0</v>
      </c>
      <c r="J150" s="645"/>
      <c r="K150" s="644"/>
      <c r="L150" s="645"/>
      <c r="M150" s="644"/>
      <c r="N150" s="766"/>
      <c r="O150" s="690"/>
      <c r="P150" s="690"/>
      <c r="Q150" s="613"/>
    </row>
    <row r="151" spans="1:17" ht="16.5" thickBot="1">
      <c r="A151" s="2113"/>
      <c r="B151" s="2114"/>
      <c r="C151" s="719" t="s">
        <v>13</v>
      </c>
      <c r="D151" s="749">
        <f>SUM(D144:D150)</f>
        <v>0</v>
      </c>
      <c r="E151" s="749">
        <f t="shared" ref="E151:I151" si="14">SUM(E144:E150)</f>
        <v>0</v>
      </c>
      <c r="F151" s="749">
        <f t="shared" si="14"/>
        <v>0</v>
      </c>
      <c r="G151" s="749">
        <f t="shared" si="14"/>
        <v>0</v>
      </c>
      <c r="H151" s="749">
        <f t="shared" si="14"/>
        <v>0</v>
      </c>
      <c r="I151" s="817">
        <f t="shared" si="14"/>
        <v>0</v>
      </c>
      <c r="J151" s="749">
        <f>SUM(J144:J150)</f>
        <v>0</v>
      </c>
      <c r="K151" s="817">
        <f>SUM(K144:K150)</f>
        <v>0</v>
      </c>
      <c r="L151" s="749">
        <f>SUM(L144:L150)</f>
        <v>0</v>
      </c>
      <c r="M151" s="817">
        <f>SUM(M144:M150)</f>
        <v>0</v>
      </c>
      <c r="N151" s="818">
        <f>SUM(N144:N150)</f>
        <v>0</v>
      </c>
      <c r="O151" s="690"/>
      <c r="P151" s="690"/>
      <c r="Q151" s="613"/>
    </row>
    <row r="152" spans="1:17" ht="16.5" thickBot="1">
      <c r="A152" s="612"/>
      <c r="B152" s="613"/>
      <c r="C152" s="613"/>
      <c r="D152" s="613"/>
      <c r="E152" s="613"/>
      <c r="F152" s="613"/>
      <c r="G152" s="613"/>
      <c r="H152" s="613"/>
      <c r="I152" s="613"/>
      <c r="J152" s="613"/>
      <c r="K152" s="613"/>
      <c r="L152" s="613"/>
      <c r="M152" s="613"/>
      <c r="N152" s="613"/>
      <c r="O152" s="690"/>
      <c r="P152" s="690"/>
      <c r="Q152" s="613"/>
    </row>
    <row r="153" spans="1:17" ht="30.75">
      <c r="A153" s="2135" t="s">
        <v>105</v>
      </c>
      <c r="B153" s="2137" t="s">
        <v>275</v>
      </c>
      <c r="C153" s="2122" t="s">
        <v>9</v>
      </c>
      <c r="D153" s="819" t="s">
        <v>106</v>
      </c>
      <c r="E153" s="819"/>
      <c r="F153" s="820"/>
      <c r="G153" s="820"/>
      <c r="H153" s="819" t="s">
        <v>107</v>
      </c>
      <c r="I153" s="819"/>
      <c r="J153" s="821"/>
      <c r="K153" s="729"/>
      <c r="L153" s="729"/>
      <c r="M153" s="729"/>
      <c r="N153" s="729"/>
      <c r="O153" s="690"/>
      <c r="P153" s="690"/>
      <c r="Q153" s="613"/>
    </row>
    <row r="154" spans="1:17" ht="45.75">
      <c r="A154" s="2136"/>
      <c r="B154" s="2138"/>
      <c r="C154" s="2123"/>
      <c r="D154" s="822" t="s">
        <v>108</v>
      </c>
      <c r="E154" s="823" t="s">
        <v>109</v>
      </c>
      <c r="F154" s="824" t="s">
        <v>110</v>
      </c>
      <c r="G154" s="825" t="s">
        <v>111</v>
      </c>
      <c r="H154" s="822" t="s">
        <v>112</v>
      </c>
      <c r="I154" s="823" t="s">
        <v>113</v>
      </c>
      <c r="J154" s="826" t="s">
        <v>103</v>
      </c>
      <c r="K154" s="729"/>
      <c r="L154" s="729"/>
      <c r="M154" s="729"/>
      <c r="N154" s="729"/>
      <c r="O154" s="690"/>
      <c r="P154" s="690"/>
      <c r="Q154" s="613"/>
    </row>
    <row r="155" spans="1:17" ht="15.75">
      <c r="A155" s="2111"/>
      <c r="B155" s="2112"/>
      <c r="C155" s="827">
        <v>2014</v>
      </c>
      <c r="D155" s="638"/>
      <c r="E155" s="639"/>
      <c r="F155" s="637"/>
      <c r="G155" s="816">
        <f>SUM(D155:F155)</f>
        <v>0</v>
      </c>
      <c r="H155" s="638"/>
      <c r="I155" s="639"/>
      <c r="J155" s="642"/>
      <c r="K155" s="613"/>
      <c r="L155" s="613"/>
      <c r="M155" s="613"/>
      <c r="N155" s="613"/>
      <c r="O155" s="690"/>
      <c r="P155" s="690"/>
      <c r="Q155" s="613"/>
    </row>
    <row r="156" spans="1:17" ht="15.75">
      <c r="A156" s="2111"/>
      <c r="B156" s="2112"/>
      <c r="C156" s="828">
        <v>2015</v>
      </c>
      <c r="D156" s="645"/>
      <c r="E156" s="646"/>
      <c r="F156" s="644"/>
      <c r="G156" s="816">
        <f t="shared" ref="G156:G161" si="15">SUM(D156:F156)</f>
        <v>0</v>
      </c>
      <c r="H156" s="645"/>
      <c r="I156" s="646"/>
      <c r="J156" s="698"/>
      <c r="K156" s="613"/>
      <c r="L156" s="613"/>
      <c r="M156" s="613"/>
      <c r="N156" s="613"/>
      <c r="O156" s="690"/>
      <c r="P156" s="690"/>
      <c r="Q156" s="613"/>
    </row>
    <row r="157" spans="1:17" ht="15.75">
      <c r="A157" s="2111"/>
      <c r="B157" s="2112"/>
      <c r="C157" s="828">
        <v>2016</v>
      </c>
      <c r="D157" s="645"/>
      <c r="E157" s="646"/>
      <c r="F157" s="644"/>
      <c r="G157" s="816">
        <f t="shared" si="15"/>
        <v>0</v>
      </c>
      <c r="H157" s="645"/>
      <c r="I157" s="646"/>
      <c r="J157" s="698"/>
      <c r="K157" s="613"/>
      <c r="L157" s="613"/>
      <c r="M157" s="613"/>
      <c r="N157" s="613"/>
      <c r="O157" s="690"/>
      <c r="P157" s="690"/>
      <c r="Q157" s="613"/>
    </row>
    <row r="158" spans="1:17" ht="15.75">
      <c r="A158" s="2111"/>
      <c r="B158" s="2112"/>
      <c r="C158" s="828">
        <v>2017</v>
      </c>
      <c r="D158" s="645"/>
      <c r="E158" s="646"/>
      <c r="F158" s="644"/>
      <c r="G158" s="816">
        <f t="shared" si="15"/>
        <v>0</v>
      </c>
      <c r="H158" s="645"/>
      <c r="I158" s="646"/>
      <c r="J158" s="698"/>
      <c r="K158" s="613"/>
      <c r="L158" s="613"/>
      <c r="M158" s="613"/>
      <c r="N158" s="613"/>
      <c r="O158" s="690"/>
      <c r="P158" s="690"/>
      <c r="Q158" s="613"/>
    </row>
    <row r="159" spans="1:17" ht="15.75">
      <c r="A159" s="2111"/>
      <c r="B159" s="2112"/>
      <c r="C159" s="828">
        <v>2018</v>
      </c>
      <c r="D159" s="645"/>
      <c r="E159" s="646"/>
      <c r="F159" s="644"/>
      <c r="G159" s="816">
        <f t="shared" si="15"/>
        <v>0</v>
      </c>
      <c r="H159" s="645"/>
      <c r="I159" s="646"/>
      <c r="J159" s="698"/>
      <c r="K159" s="613"/>
      <c r="L159" s="613"/>
      <c r="M159" s="613"/>
      <c r="N159" s="613"/>
      <c r="O159" s="690"/>
      <c r="P159" s="690"/>
      <c r="Q159" s="613"/>
    </row>
    <row r="160" spans="1:17" ht="15.75">
      <c r="A160" s="2111"/>
      <c r="B160" s="2112"/>
      <c r="C160" s="828">
        <v>2019</v>
      </c>
      <c r="D160" s="645"/>
      <c r="E160" s="646"/>
      <c r="F160" s="644"/>
      <c r="G160" s="816">
        <f t="shared" si="15"/>
        <v>0</v>
      </c>
      <c r="H160" s="645"/>
      <c r="I160" s="646"/>
      <c r="J160" s="698"/>
      <c r="K160" s="613"/>
      <c r="L160" s="613"/>
      <c r="M160" s="613"/>
      <c r="N160" s="613"/>
      <c r="O160" s="690"/>
      <c r="P160" s="690"/>
      <c r="Q160" s="613"/>
    </row>
    <row r="161" spans="1:17" ht="15.75">
      <c r="A161" s="2111"/>
      <c r="B161" s="2112"/>
      <c r="C161" s="828">
        <v>2020</v>
      </c>
      <c r="D161" s="645"/>
      <c r="E161" s="646"/>
      <c r="F161" s="644"/>
      <c r="G161" s="816">
        <f t="shared" si="15"/>
        <v>0</v>
      </c>
      <c r="H161" s="645"/>
      <c r="I161" s="646"/>
      <c r="J161" s="698"/>
      <c r="K161" s="613"/>
      <c r="L161" s="613"/>
      <c r="M161" s="613"/>
      <c r="N161" s="613"/>
      <c r="O161" s="690"/>
      <c r="P161" s="690"/>
      <c r="Q161" s="613"/>
    </row>
    <row r="162" spans="1:17" ht="16.5" thickBot="1">
      <c r="A162" s="2113"/>
      <c r="B162" s="2114"/>
      <c r="C162" s="829" t="s">
        <v>13</v>
      </c>
      <c r="D162" s="749">
        <f t="shared" ref="D162:G162" si="16">SUM(D155:D161)</f>
        <v>0</v>
      </c>
      <c r="E162" s="722">
        <f t="shared" si="16"/>
        <v>0</v>
      </c>
      <c r="F162" s="817">
        <f t="shared" si="16"/>
        <v>0</v>
      </c>
      <c r="G162" s="817">
        <f t="shared" si="16"/>
        <v>0</v>
      </c>
      <c r="H162" s="749">
        <f>SUM(H155:H161)</f>
        <v>0</v>
      </c>
      <c r="I162" s="722">
        <f>SUM(I155:I161)</f>
        <v>0</v>
      </c>
      <c r="J162" s="830">
        <f>SUM(J155:J161)</f>
        <v>0</v>
      </c>
      <c r="K162" s="613"/>
      <c r="L162" s="613"/>
      <c r="M162" s="613"/>
      <c r="N162" s="613"/>
      <c r="O162" s="613"/>
      <c r="P162" s="613"/>
      <c r="Q162" s="613"/>
    </row>
    <row r="163" spans="1:17" ht="16.5" thickBot="1">
      <c r="A163" s="831"/>
      <c r="B163" s="832"/>
      <c r="C163" s="833"/>
      <c r="D163" s="690"/>
      <c r="E163" s="834"/>
      <c r="F163" s="690"/>
      <c r="G163" s="690"/>
      <c r="H163" s="690"/>
      <c r="I163" s="690"/>
      <c r="J163" s="835"/>
      <c r="K163" s="836"/>
      <c r="L163" s="613"/>
      <c r="M163" s="613"/>
      <c r="N163" s="613"/>
      <c r="O163" s="613"/>
      <c r="P163" s="613"/>
      <c r="Q163" s="613"/>
    </row>
    <row r="164" spans="1:17" ht="97.5" customHeight="1">
      <c r="A164" s="837" t="s">
        <v>115</v>
      </c>
      <c r="B164" s="838" t="s">
        <v>281</v>
      </c>
      <c r="C164" s="839" t="s">
        <v>9</v>
      </c>
      <c r="D164" s="840" t="s">
        <v>117</v>
      </c>
      <c r="E164" s="840" t="s">
        <v>118</v>
      </c>
      <c r="F164" s="841" t="s">
        <v>119</v>
      </c>
      <c r="G164" s="840" t="s">
        <v>120</v>
      </c>
      <c r="H164" s="840" t="s">
        <v>121</v>
      </c>
      <c r="I164" s="842" t="s">
        <v>122</v>
      </c>
      <c r="J164" s="843" t="s">
        <v>123</v>
      </c>
      <c r="K164" s="843" t="s">
        <v>124</v>
      </c>
      <c r="L164" s="844"/>
      <c r="M164" s="613"/>
      <c r="N164" s="613"/>
      <c r="O164" s="613"/>
      <c r="P164" s="613"/>
      <c r="Q164" s="613"/>
    </row>
    <row r="165" spans="1:17" ht="15.75">
      <c r="A165" s="2129"/>
      <c r="B165" s="2130"/>
      <c r="C165" s="845">
        <v>2014</v>
      </c>
      <c r="D165" s="639"/>
      <c r="E165" s="639"/>
      <c r="F165" s="639"/>
      <c r="G165" s="639"/>
      <c r="H165" s="639"/>
      <c r="I165" s="642"/>
      <c r="J165" s="846">
        <f>SUM(D165,F165,H165)</f>
        <v>0</v>
      </c>
      <c r="K165" s="847">
        <f>SUM(E165,G165,I165)</f>
        <v>0</v>
      </c>
      <c r="L165" s="844"/>
      <c r="M165" s="613"/>
      <c r="N165" s="613"/>
      <c r="O165" s="613"/>
      <c r="P165" s="613"/>
      <c r="Q165" s="613"/>
    </row>
    <row r="166" spans="1:17" ht="15.75">
      <c r="A166" s="2131"/>
      <c r="B166" s="2132"/>
      <c r="C166" s="848">
        <v>2015</v>
      </c>
      <c r="D166" s="849"/>
      <c r="E166" s="849"/>
      <c r="F166" s="849"/>
      <c r="G166" s="849"/>
      <c r="H166" s="849"/>
      <c r="I166" s="850"/>
      <c r="J166" s="851">
        <f t="shared" ref="J166:K171" si="17">SUM(D166,F166,H166)</f>
        <v>0</v>
      </c>
      <c r="K166" s="852">
        <f t="shared" si="17"/>
        <v>0</v>
      </c>
      <c r="L166" s="844"/>
      <c r="M166" s="613"/>
      <c r="N166" s="613"/>
      <c r="O166" s="613"/>
      <c r="P166" s="613"/>
      <c r="Q166" s="613"/>
    </row>
    <row r="167" spans="1:17" ht="15.75">
      <c r="A167" s="2131"/>
      <c r="B167" s="2132"/>
      <c r="C167" s="848">
        <v>2016</v>
      </c>
      <c r="D167" s="849"/>
      <c r="E167" s="849"/>
      <c r="F167" s="849"/>
      <c r="G167" s="849"/>
      <c r="H167" s="849"/>
      <c r="I167" s="850"/>
      <c r="J167" s="851">
        <f t="shared" si="17"/>
        <v>0</v>
      </c>
      <c r="K167" s="852">
        <f t="shared" si="17"/>
        <v>0</v>
      </c>
      <c r="L167" s="613"/>
      <c r="M167" s="613"/>
      <c r="N167" s="613"/>
      <c r="O167" s="613"/>
      <c r="P167" s="613"/>
      <c r="Q167" s="613"/>
    </row>
    <row r="168" spans="1:17" ht="15.75">
      <c r="A168" s="2131"/>
      <c r="B168" s="2132"/>
      <c r="C168" s="848">
        <v>2017</v>
      </c>
      <c r="D168" s="849"/>
      <c r="E168" s="690"/>
      <c r="F168" s="849"/>
      <c r="G168" s="849"/>
      <c r="H168" s="849"/>
      <c r="I168" s="850"/>
      <c r="J168" s="851">
        <f t="shared" si="17"/>
        <v>0</v>
      </c>
      <c r="K168" s="852">
        <f t="shared" si="17"/>
        <v>0</v>
      </c>
      <c r="L168" s="613"/>
      <c r="M168" s="613"/>
      <c r="N168" s="613"/>
      <c r="O168" s="613"/>
      <c r="P168" s="613"/>
      <c r="Q168" s="613"/>
    </row>
    <row r="169" spans="1:17" ht="15.75">
      <c r="A169" s="2131"/>
      <c r="B169" s="2132"/>
      <c r="C169" s="853">
        <v>2018</v>
      </c>
      <c r="D169" s="849"/>
      <c r="E169" s="849"/>
      <c r="F169" s="849"/>
      <c r="G169" s="854"/>
      <c r="H169" s="849"/>
      <c r="I169" s="850"/>
      <c r="J169" s="851">
        <f t="shared" si="17"/>
        <v>0</v>
      </c>
      <c r="K169" s="852">
        <f t="shared" si="17"/>
        <v>0</v>
      </c>
      <c r="L169" s="844"/>
      <c r="M169" s="613"/>
      <c r="N169" s="613"/>
      <c r="O169" s="613"/>
      <c r="P169" s="613"/>
      <c r="Q169" s="613"/>
    </row>
    <row r="170" spans="1:17" ht="15.75">
      <c r="A170" s="2131"/>
      <c r="B170" s="2132"/>
      <c r="C170" s="848">
        <v>2019</v>
      </c>
      <c r="D170" s="690"/>
      <c r="E170" s="849"/>
      <c r="F170" s="849"/>
      <c r="G170" s="849"/>
      <c r="H170" s="854"/>
      <c r="I170" s="850"/>
      <c r="J170" s="851">
        <f t="shared" si="17"/>
        <v>0</v>
      </c>
      <c r="K170" s="852">
        <f t="shared" si="17"/>
        <v>0</v>
      </c>
      <c r="L170" s="844"/>
      <c r="M170" s="613"/>
      <c r="N170" s="613"/>
      <c r="O170" s="613"/>
      <c r="P170" s="613"/>
      <c r="Q170" s="613"/>
    </row>
    <row r="171" spans="1:17" ht="15.75">
      <c r="A171" s="2131"/>
      <c r="B171" s="2132"/>
      <c r="C171" s="853">
        <v>2020</v>
      </c>
      <c r="D171" s="849"/>
      <c r="E171" s="849"/>
      <c r="F171" s="849"/>
      <c r="G171" s="849"/>
      <c r="H171" s="849"/>
      <c r="I171" s="850"/>
      <c r="J171" s="851">
        <f t="shared" si="17"/>
        <v>0</v>
      </c>
      <c r="K171" s="852">
        <f t="shared" si="17"/>
        <v>0</v>
      </c>
      <c r="L171" s="844"/>
      <c r="M171" s="613"/>
      <c r="N171" s="613"/>
      <c r="O171" s="613"/>
      <c r="P171" s="613"/>
      <c r="Q171" s="613"/>
    </row>
    <row r="172" spans="1:17" ht="16.5" thickBot="1">
      <c r="A172" s="2133"/>
      <c r="B172" s="2134"/>
      <c r="C172" s="855" t="s">
        <v>13</v>
      </c>
      <c r="D172" s="722">
        <f>SUM(D165:D171)</f>
        <v>0</v>
      </c>
      <c r="E172" s="722">
        <f t="shared" ref="E172:K172" si="18">SUM(E165:E171)</f>
        <v>0</v>
      </c>
      <c r="F172" s="722">
        <f t="shared" si="18"/>
        <v>0</v>
      </c>
      <c r="G172" s="722">
        <f t="shared" si="18"/>
        <v>0</v>
      </c>
      <c r="H172" s="722">
        <f t="shared" si="18"/>
        <v>0</v>
      </c>
      <c r="I172" s="856">
        <f t="shared" si="18"/>
        <v>0</v>
      </c>
      <c r="J172" s="857">
        <f t="shared" si="18"/>
        <v>0</v>
      </c>
      <c r="K172" s="749">
        <f t="shared" si="18"/>
        <v>0</v>
      </c>
      <c r="L172" s="844"/>
      <c r="M172" s="613"/>
      <c r="N172" s="613"/>
      <c r="O172" s="613"/>
      <c r="P172" s="613"/>
      <c r="Q172" s="613"/>
    </row>
    <row r="173" spans="1:17" ht="15.75">
      <c r="A173" s="858"/>
      <c r="B173" s="692"/>
      <c r="C173" s="693"/>
      <c r="D173" s="643"/>
      <c r="E173" s="643"/>
      <c r="F173" s="643"/>
      <c r="G173" s="643"/>
      <c r="H173" s="643"/>
      <c r="I173" s="643"/>
      <c r="J173" s="643"/>
      <c r="K173" s="643"/>
      <c r="L173" s="643"/>
      <c r="M173" s="643"/>
      <c r="N173" s="643"/>
      <c r="O173" s="643"/>
      <c r="P173" s="643"/>
      <c r="Q173" s="643"/>
    </row>
    <row r="174" spans="1:17" ht="15.75">
      <c r="A174" s="859" t="s">
        <v>126</v>
      </c>
      <c r="B174" s="860"/>
      <c r="C174" s="861"/>
      <c r="D174" s="861"/>
      <c r="E174" s="861"/>
      <c r="F174" s="861"/>
      <c r="G174" s="861"/>
      <c r="H174" s="861"/>
      <c r="I174" s="861"/>
      <c r="J174" s="861"/>
      <c r="K174" s="861"/>
      <c r="L174" s="861"/>
      <c r="M174" s="861"/>
      <c r="N174" s="861"/>
      <c r="O174" s="861"/>
      <c r="P174" s="613"/>
      <c r="Q174" s="613"/>
    </row>
    <row r="175" spans="1:17" ht="16.5" thickBot="1">
      <c r="A175" s="607"/>
      <c r="B175" s="608"/>
      <c r="C175" s="613"/>
      <c r="D175" s="613"/>
      <c r="E175" s="613"/>
      <c r="F175" s="613"/>
      <c r="G175" s="613"/>
      <c r="H175" s="613"/>
      <c r="I175" s="613"/>
      <c r="J175" s="613"/>
      <c r="K175" s="613"/>
      <c r="L175" s="613"/>
      <c r="M175" s="613"/>
      <c r="N175" s="613"/>
      <c r="O175" s="613"/>
      <c r="P175" s="613"/>
      <c r="Q175" s="613"/>
    </row>
    <row r="176" spans="1:17" ht="16.5" thickBot="1">
      <c r="A176" s="2105" t="s">
        <v>127</v>
      </c>
      <c r="B176" s="2107" t="s">
        <v>279</v>
      </c>
      <c r="C176" s="2124" t="s">
        <v>9</v>
      </c>
      <c r="D176" s="862" t="s">
        <v>128</v>
      </c>
      <c r="E176" s="863"/>
      <c r="F176" s="863"/>
      <c r="G176" s="864"/>
      <c r="H176" s="865"/>
      <c r="I176" s="2126" t="s">
        <v>129</v>
      </c>
      <c r="J176" s="2127"/>
      <c r="K176" s="2127"/>
      <c r="L176" s="2127"/>
      <c r="M176" s="2127"/>
      <c r="N176" s="2127"/>
      <c r="O176" s="2128"/>
      <c r="P176" s="729"/>
      <c r="Q176" s="729"/>
    </row>
    <row r="177" spans="1:17" ht="105.75">
      <c r="A177" s="2106"/>
      <c r="B177" s="2108"/>
      <c r="C177" s="2125"/>
      <c r="D177" s="866" t="s">
        <v>130</v>
      </c>
      <c r="E177" s="867" t="s">
        <v>131</v>
      </c>
      <c r="F177" s="867" t="s">
        <v>132</v>
      </c>
      <c r="G177" s="868" t="s">
        <v>133</v>
      </c>
      <c r="H177" s="869" t="s">
        <v>134</v>
      </c>
      <c r="I177" s="870" t="s">
        <v>59</v>
      </c>
      <c r="J177" s="871" t="s">
        <v>60</v>
      </c>
      <c r="K177" s="871" t="s">
        <v>61</v>
      </c>
      <c r="L177" s="871" t="s">
        <v>62</v>
      </c>
      <c r="M177" s="871" t="s">
        <v>63</v>
      </c>
      <c r="N177" s="871" t="s">
        <v>64</v>
      </c>
      <c r="O177" s="872" t="s">
        <v>65</v>
      </c>
      <c r="P177" s="729"/>
      <c r="Q177" s="729"/>
    </row>
    <row r="178" spans="1:17" ht="15.75">
      <c r="A178" s="2111" t="s">
        <v>282</v>
      </c>
      <c r="B178" s="2112"/>
      <c r="C178" s="712">
        <v>2014</v>
      </c>
      <c r="D178" s="638"/>
      <c r="E178" s="639"/>
      <c r="F178" s="639"/>
      <c r="G178" s="816">
        <f>SUM(D178:F178)</f>
        <v>0</v>
      </c>
      <c r="H178" s="765"/>
      <c r="I178" s="765"/>
      <c r="J178" s="639"/>
      <c r="K178" s="639"/>
      <c r="L178" s="639"/>
      <c r="M178" s="639"/>
      <c r="N178" s="639"/>
      <c r="O178" s="642"/>
      <c r="P178" s="613"/>
      <c r="Q178" s="613"/>
    </row>
    <row r="179" spans="1:17" ht="15.75">
      <c r="A179" s="2111"/>
      <c r="B179" s="2112"/>
      <c r="C179" s="716">
        <v>2015</v>
      </c>
      <c r="D179" s="645"/>
      <c r="E179" s="646"/>
      <c r="F179" s="646"/>
      <c r="G179" s="816">
        <f t="shared" ref="G179:G184" si="19">SUM(D179:F179)</f>
        <v>0</v>
      </c>
      <c r="H179" s="873"/>
      <c r="I179" s="718"/>
      <c r="J179" s="646"/>
      <c r="K179" s="646"/>
      <c r="L179" s="646"/>
      <c r="M179" s="646"/>
      <c r="N179" s="646"/>
      <c r="O179" s="698"/>
      <c r="P179" s="613"/>
      <c r="Q179" s="613"/>
    </row>
    <row r="180" spans="1:17" ht="15.75">
      <c r="A180" s="2111"/>
      <c r="B180" s="2112"/>
      <c r="C180" s="716">
        <v>2016</v>
      </c>
      <c r="D180" s="645">
        <v>4</v>
      </c>
      <c r="E180" s="646"/>
      <c r="F180" s="646"/>
      <c r="G180" s="816">
        <f t="shared" si="19"/>
        <v>4</v>
      </c>
      <c r="H180" s="873">
        <v>7</v>
      </c>
      <c r="I180" s="718"/>
      <c r="J180" s="646"/>
      <c r="K180" s="646"/>
      <c r="L180" s="646"/>
      <c r="M180" s="646">
        <v>1</v>
      </c>
      <c r="N180" s="646"/>
      <c r="O180" s="698">
        <v>3</v>
      </c>
      <c r="P180" s="613"/>
      <c r="Q180" s="613"/>
    </row>
    <row r="181" spans="1:17" ht="15.75">
      <c r="A181" s="2111"/>
      <c r="B181" s="2112"/>
      <c r="C181" s="716">
        <v>2017</v>
      </c>
      <c r="D181" s="645">
        <v>2</v>
      </c>
      <c r="E181" s="646"/>
      <c r="F181" s="646"/>
      <c r="G181" s="816">
        <f t="shared" si="19"/>
        <v>2</v>
      </c>
      <c r="H181" s="873">
        <v>2</v>
      </c>
      <c r="I181" s="718"/>
      <c r="J181" s="646"/>
      <c r="K181" s="646"/>
      <c r="L181" s="646"/>
      <c r="M181" s="646"/>
      <c r="N181" s="646"/>
      <c r="O181" s="698">
        <v>2</v>
      </c>
      <c r="P181" s="613"/>
      <c r="Q181" s="613"/>
    </row>
    <row r="182" spans="1:17" ht="15.75">
      <c r="A182" s="2111"/>
      <c r="B182" s="2112"/>
      <c r="C182" s="716">
        <v>2018</v>
      </c>
      <c r="D182" s="645"/>
      <c r="E182" s="646"/>
      <c r="F182" s="646"/>
      <c r="G182" s="816">
        <f t="shared" si="19"/>
        <v>0</v>
      </c>
      <c r="H182" s="873"/>
      <c r="I182" s="718"/>
      <c r="J182" s="646"/>
      <c r="K182" s="646"/>
      <c r="L182" s="646"/>
      <c r="M182" s="646"/>
      <c r="N182" s="646"/>
      <c r="O182" s="698"/>
      <c r="P182" s="613"/>
      <c r="Q182" s="613"/>
    </row>
    <row r="183" spans="1:17" ht="15.75">
      <c r="A183" s="2111"/>
      <c r="B183" s="2112"/>
      <c r="C183" s="716">
        <v>2019</v>
      </c>
      <c r="D183" s="645"/>
      <c r="E183" s="646"/>
      <c r="F183" s="646"/>
      <c r="G183" s="816">
        <f t="shared" si="19"/>
        <v>0</v>
      </c>
      <c r="H183" s="873"/>
      <c r="I183" s="718"/>
      <c r="J183" s="646"/>
      <c r="K183" s="646"/>
      <c r="L183" s="646"/>
      <c r="M183" s="646"/>
      <c r="N183" s="646"/>
      <c r="O183" s="698"/>
      <c r="P183" s="613"/>
      <c r="Q183" s="613"/>
    </row>
    <row r="184" spans="1:17" ht="15.75">
      <c r="A184" s="2111"/>
      <c r="B184" s="2112"/>
      <c r="C184" s="716">
        <v>2020</v>
      </c>
      <c r="D184" s="645"/>
      <c r="E184" s="646"/>
      <c r="F184" s="646"/>
      <c r="G184" s="816">
        <f t="shared" si="19"/>
        <v>0</v>
      </c>
      <c r="H184" s="873"/>
      <c r="I184" s="718"/>
      <c r="J184" s="646"/>
      <c r="K184" s="646"/>
      <c r="L184" s="646"/>
      <c r="M184" s="646"/>
      <c r="N184" s="646"/>
      <c r="O184" s="698"/>
      <c r="P184" s="613"/>
      <c r="Q184" s="613"/>
    </row>
    <row r="185" spans="1:17" ht="16.5" thickBot="1">
      <c r="A185" s="2113"/>
      <c r="B185" s="2114"/>
      <c r="C185" s="719" t="s">
        <v>13</v>
      </c>
      <c r="D185" s="749">
        <f>SUM(D178:D184)</f>
        <v>6</v>
      </c>
      <c r="E185" s="722">
        <f>SUM(E178:E184)</f>
        <v>0</v>
      </c>
      <c r="F185" s="722">
        <f>SUM(F178:F184)</f>
        <v>0</v>
      </c>
      <c r="G185" s="817">
        <f t="shared" ref="G185:O185" si="20">SUM(G178:G184)</f>
        <v>6</v>
      </c>
      <c r="H185" s="818">
        <f t="shared" si="20"/>
        <v>9</v>
      </c>
      <c r="I185" s="721">
        <f t="shared" si="20"/>
        <v>0</v>
      </c>
      <c r="J185" s="722">
        <f t="shared" si="20"/>
        <v>0</v>
      </c>
      <c r="K185" s="722">
        <f t="shared" si="20"/>
        <v>0</v>
      </c>
      <c r="L185" s="722">
        <f t="shared" si="20"/>
        <v>0</v>
      </c>
      <c r="M185" s="722">
        <f t="shared" si="20"/>
        <v>1</v>
      </c>
      <c r="N185" s="722">
        <f t="shared" si="20"/>
        <v>0</v>
      </c>
      <c r="O185" s="723">
        <f t="shared" si="20"/>
        <v>5</v>
      </c>
      <c r="P185" s="613"/>
      <c r="Q185" s="613"/>
    </row>
    <row r="186" spans="1:17" ht="16.5" thickBot="1">
      <c r="A186" s="612"/>
      <c r="B186" s="613"/>
      <c r="C186" s="613"/>
      <c r="D186" s="613"/>
      <c r="E186" s="613"/>
      <c r="F186" s="613"/>
      <c r="G186" s="613"/>
      <c r="H186" s="613"/>
      <c r="I186" s="613"/>
      <c r="J186" s="613"/>
      <c r="K186" s="613"/>
      <c r="L186" s="613"/>
      <c r="M186" s="613"/>
      <c r="N186" s="613"/>
      <c r="O186" s="613"/>
      <c r="P186" s="613"/>
      <c r="Q186" s="613"/>
    </row>
    <row r="187" spans="1:17" ht="15.75">
      <c r="A187" s="2109" t="s">
        <v>137</v>
      </c>
      <c r="B187" s="2107" t="s">
        <v>279</v>
      </c>
      <c r="C187" s="2115" t="s">
        <v>9</v>
      </c>
      <c r="D187" s="2117" t="s">
        <v>138</v>
      </c>
      <c r="E187" s="2118"/>
      <c r="F187" s="2118"/>
      <c r="G187" s="2119"/>
      <c r="H187" s="2120" t="s">
        <v>139</v>
      </c>
      <c r="I187" s="2115"/>
      <c r="J187" s="2115"/>
      <c r="K187" s="2115"/>
      <c r="L187" s="2121"/>
      <c r="M187" s="613"/>
      <c r="N187" s="613"/>
      <c r="O187" s="613"/>
      <c r="P187" s="613"/>
      <c r="Q187" s="613"/>
    </row>
    <row r="188" spans="1:17" ht="75.75">
      <c r="A188" s="2110"/>
      <c r="B188" s="2108"/>
      <c r="C188" s="2116"/>
      <c r="D188" s="874" t="s">
        <v>140</v>
      </c>
      <c r="E188" s="874" t="s">
        <v>141</v>
      </c>
      <c r="F188" s="874" t="s">
        <v>142</v>
      </c>
      <c r="G188" s="875" t="s">
        <v>13</v>
      </c>
      <c r="H188" s="876" t="s">
        <v>143</v>
      </c>
      <c r="I188" s="874" t="s">
        <v>144</v>
      </c>
      <c r="J188" s="874" t="s">
        <v>145</v>
      </c>
      <c r="K188" s="874" t="s">
        <v>146</v>
      </c>
      <c r="L188" s="877" t="s">
        <v>147</v>
      </c>
      <c r="M188" s="613"/>
      <c r="N188" s="613"/>
      <c r="O188" s="613"/>
      <c r="P188" s="613"/>
      <c r="Q188" s="613"/>
    </row>
    <row r="189" spans="1:17" ht="15.75">
      <c r="A189" s="2094" t="s">
        <v>282</v>
      </c>
      <c r="B189" s="2095"/>
      <c r="C189" s="878">
        <v>2014</v>
      </c>
      <c r="D189" s="741"/>
      <c r="E189" s="715"/>
      <c r="F189" s="715"/>
      <c r="G189" s="879">
        <f>SUM(D189:F189)</f>
        <v>0</v>
      </c>
      <c r="H189" s="714"/>
      <c r="I189" s="715"/>
      <c r="J189" s="715"/>
      <c r="K189" s="715"/>
      <c r="L189" s="742"/>
      <c r="M189" s="613"/>
      <c r="N189" s="613"/>
      <c r="O189" s="613"/>
      <c r="P189" s="613"/>
      <c r="Q189" s="613"/>
    </row>
    <row r="190" spans="1:17" ht="15.75">
      <c r="A190" s="2096"/>
      <c r="B190" s="2097"/>
      <c r="C190" s="683">
        <v>2015</v>
      </c>
      <c r="D190" s="645"/>
      <c r="E190" s="646"/>
      <c r="F190" s="646"/>
      <c r="G190" s="879">
        <f t="shared" ref="G190:G195" si="21">SUM(D190:F190)</f>
        <v>0</v>
      </c>
      <c r="H190" s="718"/>
      <c r="I190" s="646"/>
      <c r="J190" s="646"/>
      <c r="K190" s="646"/>
      <c r="L190" s="698"/>
      <c r="M190" s="613"/>
      <c r="N190" s="613"/>
      <c r="O190" s="613"/>
      <c r="P190" s="613"/>
      <c r="Q190" s="613"/>
    </row>
    <row r="191" spans="1:17" ht="15.75">
      <c r="A191" s="2096"/>
      <c r="B191" s="2097"/>
      <c r="C191" s="683">
        <v>2016</v>
      </c>
      <c r="D191" s="645">
        <v>407</v>
      </c>
      <c r="E191" s="646"/>
      <c r="F191" s="646"/>
      <c r="G191" s="879">
        <f t="shared" si="21"/>
        <v>407</v>
      </c>
      <c r="H191" s="718"/>
      <c r="I191" s="646">
        <v>27</v>
      </c>
      <c r="J191" s="646"/>
      <c r="K191" s="646"/>
      <c r="L191" s="698">
        <v>380</v>
      </c>
      <c r="M191" s="613"/>
      <c r="N191" s="613"/>
      <c r="O191" s="613"/>
      <c r="P191" s="613"/>
      <c r="Q191" s="613"/>
    </row>
    <row r="192" spans="1:17" ht="15.75">
      <c r="A192" s="2096"/>
      <c r="B192" s="2097"/>
      <c r="C192" s="683">
        <v>2017</v>
      </c>
      <c r="D192" s="880">
        <v>302</v>
      </c>
      <c r="E192" s="646"/>
      <c r="F192" s="646"/>
      <c r="G192" s="879">
        <f t="shared" si="21"/>
        <v>302</v>
      </c>
      <c r="H192" s="718"/>
      <c r="I192" s="646">
        <v>52</v>
      </c>
      <c r="J192" s="646"/>
      <c r="K192" s="646"/>
      <c r="L192" s="698">
        <v>250</v>
      </c>
      <c r="M192" s="613"/>
      <c r="N192" s="613"/>
      <c r="O192" s="613"/>
      <c r="P192" s="613"/>
      <c r="Q192" s="613"/>
    </row>
    <row r="193" spans="1:17" ht="15.75">
      <c r="A193" s="2096"/>
      <c r="B193" s="2097"/>
      <c r="C193" s="683">
        <v>2018</v>
      </c>
      <c r="D193" s="645"/>
      <c r="E193" s="646"/>
      <c r="F193" s="646"/>
      <c r="G193" s="879">
        <f t="shared" si="21"/>
        <v>0</v>
      </c>
      <c r="H193" s="718"/>
      <c r="I193" s="646"/>
      <c r="J193" s="646"/>
      <c r="K193" s="646"/>
      <c r="L193" s="698"/>
      <c r="M193" s="613"/>
      <c r="N193" s="613"/>
      <c r="O193" s="613"/>
      <c r="P193" s="613"/>
      <c r="Q193" s="613"/>
    </row>
    <row r="194" spans="1:17" ht="15.75">
      <c r="A194" s="2096"/>
      <c r="B194" s="2097"/>
      <c r="C194" s="683">
        <v>2019</v>
      </c>
      <c r="D194" s="645"/>
      <c r="E194" s="646"/>
      <c r="F194" s="646"/>
      <c r="G194" s="879">
        <f t="shared" si="21"/>
        <v>0</v>
      </c>
      <c r="H194" s="718"/>
      <c r="I194" s="646"/>
      <c r="J194" s="646"/>
      <c r="K194" s="646"/>
      <c r="L194" s="698"/>
      <c r="M194" s="613"/>
      <c r="N194" s="613"/>
      <c r="O194" s="613"/>
      <c r="P194" s="613"/>
      <c r="Q194" s="613"/>
    </row>
    <row r="195" spans="1:17" ht="15.75">
      <c r="A195" s="2096"/>
      <c r="B195" s="2097"/>
      <c r="C195" s="683">
        <v>2020</v>
      </c>
      <c r="D195" s="645"/>
      <c r="E195" s="646"/>
      <c r="F195" s="646"/>
      <c r="G195" s="879">
        <f t="shared" si="21"/>
        <v>0</v>
      </c>
      <c r="H195" s="718"/>
      <c r="I195" s="646"/>
      <c r="J195" s="646"/>
      <c r="K195" s="646"/>
      <c r="L195" s="698"/>
      <c r="M195" s="613"/>
      <c r="N195" s="613"/>
      <c r="O195" s="613"/>
      <c r="P195" s="613"/>
      <c r="Q195" s="613"/>
    </row>
    <row r="196" spans="1:17" ht="16.5" thickBot="1">
      <c r="A196" s="2098"/>
      <c r="B196" s="2099"/>
      <c r="C196" s="746" t="s">
        <v>13</v>
      </c>
      <c r="D196" s="749">
        <f t="shared" ref="D196:L196" si="22">SUM(D189:D195)</f>
        <v>709</v>
      </c>
      <c r="E196" s="722">
        <f t="shared" si="22"/>
        <v>0</v>
      </c>
      <c r="F196" s="722">
        <f t="shared" si="22"/>
        <v>0</v>
      </c>
      <c r="G196" s="881">
        <f t="shared" si="22"/>
        <v>709</v>
      </c>
      <c r="H196" s="721">
        <f t="shared" si="22"/>
        <v>0</v>
      </c>
      <c r="I196" s="722">
        <f t="shared" si="22"/>
        <v>79</v>
      </c>
      <c r="J196" s="722">
        <f t="shared" si="22"/>
        <v>0</v>
      </c>
      <c r="K196" s="722">
        <f t="shared" si="22"/>
        <v>0</v>
      </c>
      <c r="L196" s="723">
        <f t="shared" si="22"/>
        <v>630</v>
      </c>
      <c r="M196" s="613"/>
      <c r="N196" s="613"/>
      <c r="O196" s="613"/>
      <c r="P196" s="613"/>
      <c r="Q196" s="613"/>
    </row>
    <row r="197" spans="1:17" ht="15.75">
      <c r="A197" s="612"/>
      <c r="B197" s="613"/>
      <c r="C197" s="613"/>
      <c r="D197" s="613"/>
      <c r="E197" s="613"/>
      <c r="F197" s="613"/>
      <c r="G197" s="613"/>
      <c r="H197" s="613"/>
      <c r="I197" s="613"/>
      <c r="J197" s="613"/>
      <c r="K197" s="613"/>
      <c r="L197" s="613"/>
      <c r="M197" s="613"/>
      <c r="N197" s="613"/>
      <c r="O197" s="613"/>
      <c r="P197" s="613"/>
      <c r="Q197" s="613"/>
    </row>
    <row r="198" spans="1:17" ht="15.75">
      <c r="A198" s="612"/>
      <c r="B198" s="613"/>
      <c r="C198" s="613"/>
      <c r="D198" s="613"/>
      <c r="E198" s="613"/>
      <c r="F198" s="613"/>
      <c r="G198" s="613"/>
      <c r="H198" s="613"/>
      <c r="I198" s="613"/>
      <c r="J198" s="613"/>
      <c r="K198" s="613"/>
      <c r="L198" s="613"/>
      <c r="M198" s="613"/>
      <c r="N198" s="613"/>
      <c r="O198" s="613"/>
      <c r="P198" s="613"/>
      <c r="Q198" s="613"/>
    </row>
    <row r="199" spans="1:17" ht="15.75">
      <c r="A199" s="882" t="s">
        <v>149</v>
      </c>
      <c r="B199" s="883"/>
      <c r="C199" s="884"/>
      <c r="D199" s="884"/>
      <c r="E199" s="884"/>
      <c r="F199" s="884"/>
      <c r="G199" s="884"/>
      <c r="H199" s="884"/>
      <c r="I199" s="884"/>
      <c r="J199" s="884"/>
      <c r="K199" s="884"/>
      <c r="L199" s="884"/>
      <c r="M199" s="675"/>
      <c r="N199" s="675"/>
      <c r="O199" s="613"/>
      <c r="P199" s="613"/>
      <c r="Q199" s="613"/>
    </row>
    <row r="200" spans="1:17" ht="16.5" thickBot="1">
      <c r="A200" s="882"/>
      <c r="B200" s="883"/>
      <c r="C200" s="884"/>
      <c r="D200" s="884"/>
      <c r="E200" s="884"/>
      <c r="F200" s="884"/>
      <c r="G200" s="884"/>
      <c r="H200" s="884"/>
      <c r="I200" s="884"/>
      <c r="J200" s="884"/>
      <c r="K200" s="884"/>
      <c r="L200" s="884"/>
      <c r="M200" s="613"/>
      <c r="N200" s="613"/>
      <c r="O200" s="613"/>
      <c r="P200" s="613"/>
      <c r="Q200" s="613"/>
    </row>
    <row r="201" spans="1:17" ht="81.75" customHeight="1">
      <c r="A201" s="885" t="s">
        <v>150</v>
      </c>
      <c r="B201" s="886" t="s">
        <v>279</v>
      </c>
      <c r="C201" s="887" t="s">
        <v>9</v>
      </c>
      <c r="D201" s="888" t="s">
        <v>151</v>
      </c>
      <c r="E201" s="889" t="s">
        <v>152</v>
      </c>
      <c r="F201" s="889" t="s">
        <v>153</v>
      </c>
      <c r="G201" s="887" t="s">
        <v>154</v>
      </c>
      <c r="H201" s="890" t="s">
        <v>155</v>
      </c>
      <c r="I201" s="891" t="s">
        <v>156</v>
      </c>
      <c r="J201" s="892" t="s">
        <v>157</v>
      </c>
      <c r="K201" s="889" t="s">
        <v>158</v>
      </c>
      <c r="L201" s="893" t="s">
        <v>159</v>
      </c>
      <c r="M201" s="729"/>
      <c r="N201" s="729"/>
      <c r="O201" s="729"/>
      <c r="P201" s="729"/>
      <c r="Q201" s="729"/>
    </row>
    <row r="202" spans="1:17" ht="15.75">
      <c r="A202" s="2100"/>
      <c r="B202" s="2097"/>
      <c r="C202" s="682">
        <v>2014</v>
      </c>
      <c r="D202" s="638"/>
      <c r="E202" s="639"/>
      <c r="F202" s="639"/>
      <c r="G202" s="637"/>
      <c r="H202" s="894"/>
      <c r="I202" s="895"/>
      <c r="J202" s="896"/>
      <c r="K202" s="639"/>
      <c r="L202" s="642"/>
      <c r="M202" s="613"/>
      <c r="N202" s="613"/>
      <c r="O202" s="613"/>
      <c r="P202" s="613"/>
      <c r="Q202" s="613"/>
    </row>
    <row r="203" spans="1:17" ht="15.75">
      <c r="A203" s="2100"/>
      <c r="B203" s="2097"/>
      <c r="C203" s="683">
        <v>2015</v>
      </c>
      <c r="D203" s="645"/>
      <c r="E203" s="646"/>
      <c r="F203" s="646"/>
      <c r="G203" s="644"/>
      <c r="H203" s="897"/>
      <c r="I203" s="898"/>
      <c r="J203" s="899"/>
      <c r="K203" s="646"/>
      <c r="L203" s="698"/>
      <c r="M203" s="613"/>
      <c r="N203" s="613"/>
      <c r="O203" s="613"/>
      <c r="P203" s="613"/>
      <c r="Q203" s="613"/>
    </row>
    <row r="204" spans="1:17" ht="15.75">
      <c r="A204" s="2100"/>
      <c r="B204" s="2097"/>
      <c r="C204" s="683">
        <v>2016</v>
      </c>
      <c r="D204" s="645"/>
      <c r="E204" s="646"/>
      <c r="F204" s="646"/>
      <c r="G204" s="644"/>
      <c r="H204" s="897"/>
      <c r="I204" s="898"/>
      <c r="J204" s="899"/>
      <c r="K204" s="646"/>
      <c r="L204" s="698"/>
      <c r="M204" s="613"/>
      <c r="N204" s="613"/>
      <c r="O204" s="613"/>
      <c r="P204" s="613"/>
      <c r="Q204" s="613"/>
    </row>
    <row r="205" spans="1:17" ht="15.75">
      <c r="A205" s="2100"/>
      <c r="B205" s="2097"/>
      <c r="C205" s="683">
        <v>2017</v>
      </c>
      <c r="D205" s="645">
        <v>2</v>
      </c>
      <c r="E205" s="646">
        <v>40</v>
      </c>
      <c r="F205" s="646"/>
      <c r="G205" s="644"/>
      <c r="H205" s="897"/>
      <c r="I205" s="898"/>
      <c r="J205" s="899"/>
      <c r="K205" s="646">
        <v>40</v>
      </c>
      <c r="L205" s="698"/>
      <c r="M205" s="613"/>
      <c r="N205" s="613"/>
      <c r="O205" s="613"/>
      <c r="P205" s="613"/>
      <c r="Q205" s="613"/>
    </row>
    <row r="206" spans="1:17" ht="15.75">
      <c r="A206" s="2100"/>
      <c r="B206" s="2097"/>
      <c r="C206" s="683">
        <v>2018</v>
      </c>
      <c r="D206" s="645"/>
      <c r="E206" s="646"/>
      <c r="F206" s="646"/>
      <c r="G206" s="644"/>
      <c r="H206" s="897"/>
      <c r="I206" s="898"/>
      <c r="J206" s="899"/>
      <c r="K206" s="646"/>
      <c r="L206" s="698"/>
      <c r="M206" s="613"/>
      <c r="N206" s="613"/>
      <c r="O206" s="613"/>
      <c r="P206" s="613"/>
      <c r="Q206" s="613"/>
    </row>
    <row r="207" spans="1:17" ht="15.75">
      <c r="A207" s="2100"/>
      <c r="B207" s="2097"/>
      <c r="C207" s="683">
        <v>2019</v>
      </c>
      <c r="D207" s="645"/>
      <c r="E207" s="646"/>
      <c r="F207" s="646"/>
      <c r="G207" s="644"/>
      <c r="H207" s="897"/>
      <c r="I207" s="898"/>
      <c r="J207" s="899"/>
      <c r="K207" s="646"/>
      <c r="L207" s="698"/>
      <c r="M207" s="613"/>
      <c r="N207" s="613"/>
      <c r="O207" s="613"/>
      <c r="P207" s="613"/>
      <c r="Q207" s="613"/>
    </row>
    <row r="208" spans="1:17" ht="15.75">
      <c r="A208" s="2100"/>
      <c r="B208" s="2097"/>
      <c r="C208" s="683">
        <v>2020</v>
      </c>
      <c r="D208" s="900"/>
      <c r="E208" s="901"/>
      <c r="F208" s="901"/>
      <c r="G208" s="902"/>
      <c r="H208" s="903"/>
      <c r="I208" s="904"/>
      <c r="J208" s="905"/>
      <c r="K208" s="901"/>
      <c r="L208" s="906"/>
      <c r="M208" s="613"/>
      <c r="N208" s="613"/>
      <c r="O208" s="613"/>
      <c r="P208" s="613"/>
      <c r="Q208" s="613"/>
    </row>
    <row r="209" spans="1:17" ht="16.5" thickBot="1">
      <c r="A209" s="2101"/>
      <c r="B209" s="2099"/>
      <c r="C209" s="746" t="s">
        <v>13</v>
      </c>
      <c r="D209" s="749">
        <f>SUM(D202:D208)</f>
        <v>2</v>
      </c>
      <c r="E209" s="749">
        <f t="shared" ref="E209:L209" si="23">SUM(E202:E208)</f>
        <v>40</v>
      </c>
      <c r="F209" s="749">
        <f t="shared" si="23"/>
        <v>0</v>
      </c>
      <c r="G209" s="749">
        <f t="shared" si="23"/>
        <v>0</v>
      </c>
      <c r="H209" s="749">
        <f t="shared" si="23"/>
        <v>0</v>
      </c>
      <c r="I209" s="749">
        <f t="shared" si="23"/>
        <v>0</v>
      </c>
      <c r="J209" s="749">
        <f t="shared" si="23"/>
        <v>0</v>
      </c>
      <c r="K209" s="749">
        <f t="shared" si="23"/>
        <v>40</v>
      </c>
      <c r="L209" s="749">
        <f t="shared" si="23"/>
        <v>0</v>
      </c>
      <c r="M209" s="613"/>
      <c r="N209" s="613"/>
      <c r="O209" s="613"/>
      <c r="P209" s="613"/>
      <c r="Q209" s="613"/>
    </row>
    <row r="210" spans="1:17" ht="15.75">
      <c r="A210" s="612"/>
      <c r="B210" s="613"/>
      <c r="C210" s="613"/>
      <c r="D210" s="613"/>
      <c r="E210" s="613"/>
      <c r="F210" s="613"/>
      <c r="G210" s="613"/>
      <c r="H210" s="613"/>
      <c r="I210" s="613"/>
      <c r="J210" s="613"/>
      <c r="K210" s="613"/>
      <c r="L210" s="613"/>
      <c r="M210" s="613"/>
      <c r="N210" s="613"/>
      <c r="O210" s="613"/>
      <c r="P210" s="613"/>
      <c r="Q210" s="613"/>
    </row>
    <row r="211" spans="1:17" ht="16.5" thickBot="1">
      <c r="A211" s="612"/>
      <c r="B211" s="613"/>
      <c r="C211" s="613"/>
      <c r="D211" s="613"/>
      <c r="E211" s="613"/>
      <c r="F211" s="613"/>
      <c r="G211" s="613"/>
      <c r="H211" s="613"/>
      <c r="I211" s="613"/>
      <c r="J211" s="613"/>
      <c r="K211" s="613"/>
      <c r="L211" s="613"/>
      <c r="M211" s="613"/>
      <c r="N211" s="613"/>
      <c r="O211" s="613"/>
      <c r="P211" s="613"/>
      <c r="Q211" s="613"/>
    </row>
    <row r="212" spans="1:17" ht="31.5">
      <c r="A212" s="907" t="s">
        <v>161</v>
      </c>
      <c r="B212" s="908" t="s">
        <v>283</v>
      </c>
      <c r="C212" s="909">
        <v>2014</v>
      </c>
      <c r="D212" s="910">
        <v>2015</v>
      </c>
      <c r="E212" s="910">
        <v>2016</v>
      </c>
      <c r="F212" s="910">
        <v>2017</v>
      </c>
      <c r="G212" s="910">
        <v>2018</v>
      </c>
      <c r="H212" s="910">
        <v>2019</v>
      </c>
      <c r="I212" s="911">
        <v>2020</v>
      </c>
      <c r="J212" s="613"/>
      <c r="K212" s="613"/>
      <c r="L212" s="613"/>
      <c r="M212" s="613"/>
      <c r="N212" s="613"/>
      <c r="O212" s="613"/>
      <c r="P212" s="613"/>
      <c r="Q212" s="613"/>
    </row>
    <row r="213" spans="1:17" ht="15.75">
      <c r="A213" s="912" t="s">
        <v>163</v>
      </c>
      <c r="B213" s="2102" t="s">
        <v>284</v>
      </c>
      <c r="C213" s="682"/>
      <c r="D213" s="913">
        <f>D217+D216+D214</f>
        <v>438807.80000000005</v>
      </c>
      <c r="E213" s="913">
        <f>E214+E216+E217</f>
        <v>864205.58000000007</v>
      </c>
      <c r="F213" s="743">
        <f>F214+F216+F217</f>
        <v>1322035.3800000001</v>
      </c>
      <c r="G213" s="743"/>
      <c r="H213" s="743"/>
      <c r="I213" s="914"/>
      <c r="J213" s="613"/>
      <c r="K213" s="613"/>
      <c r="L213" s="613"/>
      <c r="M213" s="613"/>
      <c r="N213" s="613"/>
      <c r="O213" s="613"/>
      <c r="P213" s="613"/>
      <c r="Q213" s="613"/>
    </row>
    <row r="214" spans="1:17" ht="15.75">
      <c r="A214" s="912" t="s">
        <v>164</v>
      </c>
      <c r="B214" s="2103"/>
      <c r="C214" s="682"/>
      <c r="D214" s="913">
        <v>419641.67000000004</v>
      </c>
      <c r="E214" s="743">
        <v>810937.39</v>
      </c>
      <c r="F214" s="743">
        <v>1080535.23</v>
      </c>
      <c r="G214" s="743"/>
      <c r="H214" s="743"/>
      <c r="I214" s="914"/>
      <c r="J214" s="915"/>
      <c r="K214" s="613"/>
      <c r="L214" s="613"/>
      <c r="M214" s="613"/>
      <c r="N214" s="613"/>
      <c r="O214" s="613"/>
      <c r="P214" s="613"/>
      <c r="Q214" s="613"/>
    </row>
    <row r="215" spans="1:17" ht="15.75">
      <c r="A215" s="912" t="s">
        <v>165</v>
      </c>
      <c r="B215" s="2103"/>
      <c r="C215" s="682"/>
      <c r="D215" s="743">
        <v>0</v>
      </c>
      <c r="E215" s="743">
        <v>0</v>
      </c>
      <c r="F215" s="743">
        <v>0</v>
      </c>
      <c r="G215" s="743"/>
      <c r="H215" s="743"/>
      <c r="I215" s="914"/>
      <c r="J215" s="613"/>
      <c r="K215" s="613"/>
      <c r="L215" s="613"/>
      <c r="M215" s="613"/>
      <c r="N215" s="613"/>
      <c r="O215" s="613"/>
      <c r="P215" s="613"/>
      <c r="Q215" s="613"/>
    </row>
    <row r="216" spans="1:17" ht="30.75">
      <c r="A216" s="916" t="s">
        <v>166</v>
      </c>
      <c r="B216" s="2103"/>
      <c r="C216" s="682"/>
      <c r="D216" s="743">
        <v>13689.99</v>
      </c>
      <c r="E216" s="913">
        <v>33324.19</v>
      </c>
      <c r="F216" s="743">
        <v>126820.54</v>
      </c>
      <c r="G216" s="743"/>
      <c r="H216" s="743"/>
      <c r="I216" s="914"/>
      <c r="J216" s="613"/>
      <c r="K216" s="613"/>
      <c r="L216" s="613"/>
      <c r="M216" s="613"/>
      <c r="N216" s="613"/>
      <c r="O216" s="613"/>
      <c r="P216" s="613"/>
      <c r="Q216" s="613"/>
    </row>
    <row r="217" spans="1:17" ht="33" customHeight="1">
      <c r="A217" s="916" t="s">
        <v>167</v>
      </c>
      <c r="B217" s="2103"/>
      <c r="C217" s="682"/>
      <c r="D217" s="743">
        <v>5476.14</v>
      </c>
      <c r="E217" s="913">
        <v>19944</v>
      </c>
      <c r="F217" s="743">
        <v>114679.61</v>
      </c>
      <c r="G217" s="743"/>
      <c r="H217" s="743"/>
      <c r="I217" s="914"/>
      <c r="J217" s="613"/>
      <c r="K217" s="613"/>
      <c r="L217" s="613"/>
      <c r="M217" s="613"/>
      <c r="N217" s="613"/>
      <c r="O217" s="613"/>
      <c r="P217" s="613"/>
      <c r="Q217" s="613"/>
    </row>
    <row r="218" spans="1:17" ht="45.75">
      <c r="A218" s="916" t="s">
        <v>168</v>
      </c>
      <c r="B218" s="2103"/>
      <c r="C218" s="682"/>
      <c r="D218" s="743">
        <v>113328.82</v>
      </c>
      <c r="E218" s="743">
        <v>269886.19</v>
      </c>
      <c r="F218" s="743">
        <v>388197.58</v>
      </c>
      <c r="G218" s="743"/>
      <c r="H218" s="743"/>
      <c r="I218" s="914"/>
      <c r="J218" s="915"/>
      <c r="K218" s="613"/>
      <c r="L218" s="613"/>
      <c r="M218" s="613"/>
      <c r="N218" s="613"/>
      <c r="O218" s="613"/>
      <c r="P218" s="613"/>
      <c r="Q218" s="613"/>
    </row>
    <row r="219" spans="1:17" ht="80.25" customHeight="1" thickBot="1">
      <c r="A219" s="917"/>
      <c r="B219" s="2104"/>
      <c r="C219" s="650" t="s">
        <v>13</v>
      </c>
      <c r="D219" s="918">
        <f>SUM(D214:D218)</f>
        <v>552136.62000000011</v>
      </c>
      <c r="E219" s="919">
        <f>SUM(E214:E218)</f>
        <v>1134091.77</v>
      </c>
      <c r="F219" s="919">
        <f>SUM(F214:F218)</f>
        <v>1710232.9600000002</v>
      </c>
      <c r="G219" s="919">
        <f t="shared" ref="G219:I219" si="24">SUM(G214:G218)</f>
        <v>0</v>
      </c>
      <c r="H219" s="919">
        <f t="shared" si="24"/>
        <v>0</v>
      </c>
      <c r="I219" s="920">
        <f t="shared" si="24"/>
        <v>0</v>
      </c>
      <c r="J219" s="613"/>
      <c r="K219" s="613"/>
      <c r="L219" s="613"/>
      <c r="M219" s="613"/>
      <c r="N219" s="613"/>
      <c r="O219" s="613"/>
      <c r="P219" s="613"/>
      <c r="Q219" s="613"/>
    </row>
    <row r="220" spans="1:17" ht="15.75">
      <c r="A220" s="612"/>
      <c r="B220" s="613"/>
      <c r="C220" s="613"/>
      <c r="D220" s="613"/>
      <c r="E220" s="613"/>
      <c r="F220" s="613"/>
      <c r="G220" s="613"/>
      <c r="H220" s="613"/>
      <c r="I220" s="613"/>
      <c r="J220" s="613"/>
      <c r="K220" s="613"/>
      <c r="L220" s="613"/>
      <c r="M220" s="613"/>
      <c r="N220" s="613"/>
      <c r="O220" s="613"/>
      <c r="P220" s="613"/>
      <c r="Q220" s="613"/>
    </row>
    <row r="221" spans="1:17" ht="15.75">
      <c r="A221" s="612"/>
      <c r="B221" s="613"/>
      <c r="C221" s="613"/>
      <c r="D221" s="613"/>
      <c r="E221" s="613"/>
      <c r="F221" s="613"/>
      <c r="G221" s="613"/>
      <c r="H221" s="613"/>
      <c r="I221" s="613"/>
      <c r="J221" s="613"/>
      <c r="K221" s="613"/>
      <c r="L221" s="613"/>
      <c r="M221" s="613"/>
      <c r="N221" s="613"/>
      <c r="O221" s="613"/>
      <c r="P221" s="613"/>
      <c r="Q221" s="613"/>
    </row>
    <row r="222" spans="1:17" ht="15.75">
      <c r="A222" s="612"/>
      <c r="B222" s="613"/>
      <c r="C222" s="613"/>
      <c r="D222" s="915">
        <f>D213+E213+F213</f>
        <v>2625048.7600000002</v>
      </c>
      <c r="E222" s="915"/>
      <c r="F222" s="613"/>
      <c r="G222" s="613"/>
      <c r="H222" s="613"/>
      <c r="I222" s="613"/>
      <c r="J222" s="613"/>
      <c r="K222" s="613"/>
      <c r="L222" s="613"/>
      <c r="M222" s="613"/>
      <c r="N222" s="613"/>
      <c r="O222" s="613"/>
      <c r="P222" s="613"/>
      <c r="Q222" s="613"/>
    </row>
    <row r="223" spans="1:17" ht="15.75">
      <c r="A223" s="612"/>
      <c r="B223" s="613"/>
      <c r="C223" s="613"/>
      <c r="D223" s="613"/>
      <c r="E223" s="915"/>
      <c r="F223" s="613"/>
      <c r="G223" s="613"/>
      <c r="H223" s="613"/>
      <c r="I223" s="613"/>
      <c r="J223" s="613"/>
      <c r="K223" s="613"/>
      <c r="L223" s="613"/>
      <c r="M223" s="613"/>
      <c r="N223" s="613"/>
      <c r="O223" s="613"/>
      <c r="P223" s="613"/>
      <c r="Q223" s="613"/>
    </row>
    <row r="224" spans="1:17" ht="15.75">
      <c r="A224" s="612"/>
      <c r="B224" s="613"/>
      <c r="C224" s="613"/>
      <c r="D224" s="613"/>
      <c r="E224" s="613"/>
      <c r="F224" s="613"/>
      <c r="G224" s="613"/>
      <c r="H224" s="613"/>
      <c r="I224" s="613"/>
      <c r="J224" s="613"/>
      <c r="K224" s="613"/>
      <c r="L224" s="613"/>
      <c r="M224" s="613"/>
      <c r="N224" s="613"/>
      <c r="O224" s="613"/>
      <c r="P224" s="613"/>
      <c r="Q224" s="613"/>
    </row>
    <row r="225" spans="1:17" ht="15.75">
      <c r="A225" s="612"/>
      <c r="B225" s="613"/>
      <c r="C225" s="613"/>
      <c r="D225" s="613"/>
      <c r="E225" s="613"/>
      <c r="F225" s="613"/>
      <c r="G225" s="613"/>
      <c r="H225" s="613"/>
      <c r="I225" s="613"/>
      <c r="J225" s="613"/>
      <c r="K225" s="613"/>
      <c r="L225" s="613"/>
      <c r="M225" s="613"/>
      <c r="N225" s="613"/>
      <c r="O225" s="613"/>
      <c r="P225" s="613"/>
      <c r="Q225" s="613"/>
    </row>
  </sheetData>
  <mergeCells count="55">
    <mergeCell ref="D60:D61"/>
    <mergeCell ref="B1:F1"/>
    <mergeCell ref="F3:O3"/>
    <mergeCell ref="A4:O10"/>
    <mergeCell ref="D15:G15"/>
    <mergeCell ref="A17:B24"/>
    <mergeCell ref="D26:G26"/>
    <mergeCell ref="A28:B35"/>
    <mergeCell ref="A40:B47"/>
    <mergeCell ref="A50:B58"/>
    <mergeCell ref="A60:A61"/>
    <mergeCell ref="C60:C61"/>
    <mergeCell ref="A62:B69"/>
    <mergeCell ref="A72:B79"/>
    <mergeCell ref="A85:B92"/>
    <mergeCell ref="A96:A97"/>
    <mergeCell ref="B96:B97"/>
    <mergeCell ref="D96:E96"/>
    <mergeCell ref="A98:B105"/>
    <mergeCell ref="A107:A108"/>
    <mergeCell ref="B107:B108"/>
    <mergeCell ref="C107:C108"/>
    <mergeCell ref="D107:D108"/>
    <mergeCell ref="C96:C97"/>
    <mergeCell ref="C142:C143"/>
    <mergeCell ref="J142:N142"/>
    <mergeCell ref="A109:B116"/>
    <mergeCell ref="A118:A119"/>
    <mergeCell ref="B118:B119"/>
    <mergeCell ref="C118:C119"/>
    <mergeCell ref="D118:D119"/>
    <mergeCell ref="A120:B127"/>
    <mergeCell ref="B129:B130"/>
    <mergeCell ref="A131:B137"/>
    <mergeCell ref="A142:A143"/>
    <mergeCell ref="B142:B143"/>
    <mergeCell ref="A144:B151"/>
    <mergeCell ref="C187:C188"/>
    <mergeCell ref="D187:G187"/>
    <mergeCell ref="H187:L187"/>
    <mergeCell ref="C153:C154"/>
    <mergeCell ref="A155:B162"/>
    <mergeCell ref="C176:C177"/>
    <mergeCell ref="I176:O176"/>
    <mergeCell ref="A178:B185"/>
    <mergeCell ref="A165:B172"/>
    <mergeCell ref="A153:A154"/>
    <mergeCell ref="B153:B154"/>
    <mergeCell ref="A189:B196"/>
    <mergeCell ref="A202:B209"/>
    <mergeCell ref="B213:B219"/>
    <mergeCell ref="A176:A177"/>
    <mergeCell ref="B176:B177"/>
    <mergeCell ref="A187:A188"/>
    <mergeCell ref="B187:B18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38</vt:i4>
      </vt:variant>
    </vt:vector>
  </HeadingPairs>
  <TitlesOfParts>
    <vt:vector size="38" baseType="lpstr">
      <vt:lpstr>dolnośląskie</vt:lpstr>
      <vt:lpstr>kujawsko-pomorskie</vt:lpstr>
      <vt:lpstr>lubelskie</vt:lpstr>
      <vt:lpstr>lubuskie</vt:lpstr>
      <vt:lpstr>łódzkie</vt:lpstr>
      <vt:lpstr>małopolskie</vt:lpstr>
      <vt:lpstr>mazowieckie</vt:lpstr>
      <vt:lpstr>opolskie</vt:lpstr>
      <vt:lpstr>podkarpackie</vt:lpstr>
      <vt:lpstr>podlaskie</vt:lpstr>
      <vt:lpstr>pomorskie</vt:lpstr>
      <vt:lpstr>ślaskie</vt:lpstr>
      <vt:lpstr>świętokrzyskie</vt:lpstr>
      <vt:lpstr>warmińsko-mazurskie</vt:lpstr>
      <vt:lpstr>wielkopolskie</vt:lpstr>
      <vt:lpstr>zachodniopomorskie</vt:lpstr>
      <vt:lpstr>KOWR</vt:lpstr>
      <vt:lpstr>ARiMR</vt:lpstr>
      <vt:lpstr>MRiRW</vt:lpstr>
      <vt:lpstr>Jednostka Centralna</vt:lpstr>
      <vt:lpstr>Centrum Doradztwa Rolniczego</vt:lpstr>
      <vt:lpstr>ODR woj. dolnośląskie</vt:lpstr>
      <vt:lpstr>ODR woj. kujawsko-pomorskie</vt:lpstr>
      <vt:lpstr>ODR woj. lubelskie</vt:lpstr>
      <vt:lpstr>ODR woj. lubuskie</vt:lpstr>
      <vt:lpstr>ODR woj. łódzkie</vt:lpstr>
      <vt:lpstr>ODR woj. małopolskie</vt:lpstr>
      <vt:lpstr>ODR woj. mazowieckie</vt:lpstr>
      <vt:lpstr>ODR woj. opolskie</vt:lpstr>
      <vt:lpstr>ODR woj. podkarpackie</vt:lpstr>
      <vt:lpstr>ODR woj. podlaskie</vt:lpstr>
      <vt:lpstr>ODR woj. pomorskie</vt:lpstr>
      <vt:lpstr>ODR woj. ślaskie</vt:lpstr>
      <vt:lpstr>ODR woj. świętokrzyskie</vt:lpstr>
      <vt:lpstr>ODR woj. warmińsko-mazurskie</vt:lpstr>
      <vt:lpstr>ODR woj. wielkopolskie</vt:lpstr>
      <vt:lpstr>ODR woj. zachodniopomorskie</vt:lpstr>
      <vt:lpstr>RAZEM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09</dc:creator>
  <cp:lastModifiedBy>09</cp:lastModifiedBy>
  <dcterms:created xsi:type="dcterms:W3CDTF">2018-03-19T11:53:58Z</dcterms:created>
  <dcterms:modified xsi:type="dcterms:W3CDTF">2018-03-27T13:20:01Z</dcterms:modified>
</cp:coreProperties>
</file>